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" sheetId="1" r:id="rId1"/>
  </sheets>
  <definedNames>
    <definedName name="__bookmark_2">'Report'!$A$7:$N$320</definedName>
  </definedNames>
  <calcPr fullCalcOnLoad="1"/>
</workbook>
</file>

<file path=xl/sharedStrings.xml><?xml version="1.0" encoding="utf-8"?>
<sst xmlns="http://schemas.openxmlformats.org/spreadsheetml/2006/main" count="235" uniqueCount="234">
  <si>
    <t>Ayuntamiento de Granadilla de Abona</t>
  </si>
  <si>
    <t>Estado de ejecución de Ingresos</t>
  </si>
  <si>
    <t>Periodo: 2021</t>
  </si>
  <si>
    <t>Fecha de listado igual a: 31/12/2021</t>
  </si>
  <si>
    <t>Código de Concepto</t>
  </si>
  <si>
    <t>Inicial</t>
  </si>
  <si>
    <t>Actual</t>
  </si>
  <si>
    <t>Compromisos</t>
  </si>
  <si>
    <t>DR</t>
  </si>
  <si>
    <t>DR Anul.</t>
  </si>
  <si>
    <t>Deudores</t>
  </si>
  <si>
    <t>I</t>
  </si>
  <si>
    <t>I Netos</t>
  </si>
  <si>
    <t>Saldo</t>
  </si>
  <si>
    <t>Descripción</t>
  </si>
  <si>
    <t>Modific.</t>
  </si>
  <si>
    <t>CIC pendiente</t>
  </si>
  <si>
    <t>DR Netos</t>
  </si>
  <si>
    <t>DR Canc.</t>
  </si>
  <si>
    <t>OI</t>
  </si>
  <si>
    <t>Dev. I</t>
  </si>
  <si>
    <t>%DR s/Prev</t>
  </si>
  <si>
    <t>% I Neto s/DRN</t>
  </si>
  <si>
    <t>11200</t>
  </si>
  <si>
    <t>I.B.I DE NATURALEZA RÚSTICA</t>
  </si>
  <si>
    <t>Total Concepto  112 IMPUESTO SOBRE BIENES IMMUEBLES</t>
  </si>
  <si>
    <t>11300</t>
  </si>
  <si>
    <t>I.B.I DE NATURALEZA URBANA</t>
  </si>
  <si>
    <t>Total Concepto  113 IMPTO S/BIENES INMUEBLES DE NATURALEZA URBANA</t>
  </si>
  <si>
    <t>11400</t>
  </si>
  <si>
    <t>I.BI DE CARACTERÍSTICAS ESPECIALES</t>
  </si>
  <si>
    <t>Total Concepto  114 IMPTO S/BIENES INMUEBLES DE CARACTERIST. ESPECIALE</t>
  </si>
  <si>
    <t>11500</t>
  </si>
  <si>
    <t>IMPUESTO SOBRE VEHÍCULOS DE TRACCIÓN MECÁNICA</t>
  </si>
  <si>
    <t>Total Concepto  115 IMPTO S/VEHICULOS DE TRACCION MECANICA</t>
  </si>
  <si>
    <t>11600</t>
  </si>
  <si>
    <t>IMPUESTO S/INCREMENTO VALOR TERRENOS DE NAT. URBAN</t>
  </si>
  <si>
    <t>Total Concepto  116 IMPTO S/INCREMENTO VALOR DE TERRENOS NATUR. URBANA</t>
  </si>
  <si>
    <t>13000</t>
  </si>
  <si>
    <t>IMPUESTO SOBRE ACTIVIDADES ECONÓMICAS</t>
  </si>
  <si>
    <t>Total Concepto  130 IMPUESTOS SOBRE ACTIVIDADES ECONOMICAS</t>
  </si>
  <si>
    <t>29000</t>
  </si>
  <si>
    <t>IMPUESTOS S/CONSTRUC., INSTAL. Y OBRAS</t>
  </si>
  <si>
    <t>Total Concepto  290 IMPTO S/CONSTRUCCIONES, INSTALACIONES Y OBRAS</t>
  </si>
  <si>
    <t>29100</t>
  </si>
  <si>
    <t>IMPUESTOS SOBRE GASTOS SUNTUARIOS.(COTOS DE CAZA Y PESCA)</t>
  </si>
  <si>
    <t>Total Concepto  291 IMPTOS SUNTUARIOS (COTOS DE CAZA Y PESCA)</t>
  </si>
  <si>
    <t>30000</t>
  </si>
  <si>
    <t>TASA POR EL SERVICIO DE ABASTECIMIENTO DE AGUA</t>
  </si>
  <si>
    <t>30001</t>
  </si>
  <si>
    <t>TASA POR ACOPLES A LA RED DE ABASTECIMIENTO DE AGUA</t>
  </si>
  <si>
    <t>Total Concepto  300 SERVICIO DE ABASTECIMIENTO DE AGUA</t>
  </si>
  <si>
    <t>30100</t>
  </si>
  <si>
    <t>TASA POR SERVICIO DE ALCANTARILLADO</t>
  </si>
  <si>
    <t>30101</t>
  </si>
  <si>
    <t>TASAS POR ACOPLES A LA RED DE ALCANTARILLADO</t>
  </si>
  <si>
    <t>Total Concepto  301 SERVICIO DE ALCANTARILLADO</t>
  </si>
  <si>
    <t>30200</t>
  </si>
  <si>
    <t>TASA POR SERVICIO DE RECOGIDA DE BASURA</t>
  </si>
  <si>
    <t>Total Concepto  302 SERVICIO RECOGIDA DOMICILIARIA DE BASURAS</t>
  </si>
  <si>
    <t>30900</t>
  </si>
  <si>
    <t>TASAS POR SERVICIO DE CEMENTERIO</t>
  </si>
  <si>
    <t>30901</t>
  </si>
  <si>
    <t>TASAS POR PARTICIPACIÓN DE PRUEBAS SELECTIVAS DE ACCESO AL A</t>
  </si>
  <si>
    <t>Total Concepto  309 OTRAS TASAS POR PRESTACION DE SERV. BASICOS</t>
  </si>
  <si>
    <t>31200</t>
  </si>
  <si>
    <t>TASAS POR SERVICIOS DE ENSEÑANZA EN LA ESCUELA DE MÚSICA MUN</t>
  </si>
  <si>
    <t>Total Concepto  312 TASA POR SERVICIOS EDUCATIVOS</t>
  </si>
  <si>
    <t>32100</t>
  </si>
  <si>
    <t>TASAS POR LICENCIAS URBANÍSTICAS</t>
  </si>
  <si>
    <t>Total Concepto  321 TASAS LICENCIAS URBANISTICAS</t>
  </si>
  <si>
    <t>32200</t>
  </si>
  <si>
    <t>TASAS POR CÉDULAS DE HABITABILIDAD Y LICENCIAS DE PRIMERA OC</t>
  </si>
  <si>
    <t>Total Concepto  322 TASA CEDULAS HABITABILIDAD Y LIC 1º OCUPACION</t>
  </si>
  <si>
    <t>32300</t>
  </si>
  <si>
    <t>TASAS POR OTROS SERVICIOS URBANISTICOS</t>
  </si>
  <si>
    <t>Total Concepto  323 TASAS POR OTROS SERVICIOS URBANISTICOS</t>
  </si>
  <si>
    <t>32500</t>
  </si>
  <si>
    <t>TASAS POR EXPEDICIÓN DE DOCUMENTOS</t>
  </si>
  <si>
    <t>Total Concepto  325 TASA POR EXPEDICION DOCUMENTOS</t>
  </si>
  <si>
    <t>32901</t>
  </si>
  <si>
    <t>TASAS POR LICENCIAS DE AUTOTAXIS Y LICENCIAS DE ALQUILER</t>
  </si>
  <si>
    <t>32902</t>
  </si>
  <si>
    <t>TASAS POR LICENCIAS DE APERTURA DE ESTABLECIMIENTOS</t>
  </si>
  <si>
    <t>Total Concepto  329 OTRAS TASAS REALIZACION ACTIV. COMPETENCIA MPAL</t>
  </si>
  <si>
    <t>33100</t>
  </si>
  <si>
    <t>TASAS POR LA ENTRADA DE VEHÍCULOS EN EDIFICIOS PARTICULARES</t>
  </si>
  <si>
    <t>Total Concepto  331 TASA POR ENTRADA VEHICULOS EDF PARTICULARES Y RVA</t>
  </si>
  <si>
    <t>33500</t>
  </si>
  <si>
    <t>TASAS POR OCUPACIÓN DE LA VÍA PÚBLICA CON MESAS Y SILLAS CON</t>
  </si>
  <si>
    <t>33501</t>
  </si>
  <si>
    <t>TASAS POR INSTALACIÓN DE KIOSCOS EN LA VÍA PÚBLICA</t>
  </si>
  <si>
    <t>33502</t>
  </si>
  <si>
    <t>TASAS POR PUESTOS, BARRACAS, ETC. Y VENTA E INDUSTRIAS AMBUL</t>
  </si>
  <si>
    <t>Total Concepto  335 TASA POR OCUPACION VIA PUBLICA CON TERRAZAS</t>
  </si>
  <si>
    <t>33700</t>
  </si>
  <si>
    <t>TASAS POR APROVECHAMIENTO DE SUELO, SUBSUELO Y VUELO DOMINIO</t>
  </si>
  <si>
    <t>33703</t>
  </si>
  <si>
    <t>TASAS POR APROVECHAMIENTO ESPACIAL DE VUELO, SUBSUELO SUMINI</t>
  </si>
  <si>
    <t>Total Concepto  337 TASA POR APROVECHAMIENTO DEL VUELO</t>
  </si>
  <si>
    <t>33800</t>
  </si>
  <si>
    <t>TASAS POR APROVECHAMIENTO DEL VUELO</t>
  </si>
  <si>
    <t>Total Concepto  338 TASA COMPENSACION DE TELEFONICA DE ESPAÑA, S.A.</t>
  </si>
  <si>
    <t>33900</t>
  </si>
  <si>
    <t>TASAS POR UTILIZACIÓN PRIVATIVA DEL DOMINIO PÚBLICO</t>
  </si>
  <si>
    <t>Total Concepto  339 TASA UTILIZACION PRIVATIVA DOM. PUBLICO</t>
  </si>
  <si>
    <t>34101</t>
  </si>
  <si>
    <t>PRECIO PÚBLICO POR SERVICIO EN CENTROS ASISTENCIA (C. DE MAY</t>
  </si>
  <si>
    <t>Total Concepto  341 P.P. DE SERVICIOS ASISTENCIALES</t>
  </si>
  <si>
    <t>34200</t>
  </si>
  <si>
    <t>PRECIO PÚBLICO POR PARTICIPACIÓN EN CURSOS DE FORMACIÓN</t>
  </si>
  <si>
    <t>34201</t>
  </si>
  <si>
    <t>PRECIO PÚBLICO POR PRESTACIÓN DE SERVICIO DE LA ESCUELA INFA</t>
  </si>
  <si>
    <t>34202</t>
  </si>
  <si>
    <t>P.P. POR SERVICIO DE PERMANENCIA</t>
  </si>
  <si>
    <t>34203</t>
  </si>
  <si>
    <t>P.P. PARTICIPACIÓN CAMPAMENTOS DE VERANO</t>
  </si>
  <si>
    <t>34204</t>
  </si>
  <si>
    <t>P.P. ACTIVIDADES EXTRAESCOLARES</t>
  </si>
  <si>
    <t>Total Concepto  342 P.P. POR SERVICIOS EDUCATIVOS</t>
  </si>
  <si>
    <t>34900</t>
  </si>
  <si>
    <t>PRECIO PÚBLICO POR LA PRESTACIÓN DE SERVICIOS CULTURALES Y R</t>
  </si>
  <si>
    <t>34901</t>
  </si>
  <si>
    <t>PRECIO PÚBLICO POR ACTIVIDADES LÚDICO-DEPORTIVAS</t>
  </si>
  <si>
    <t>Total Concepto  349 OTROS PRECIOS PUBLICOS</t>
  </si>
  <si>
    <t>36000</t>
  </si>
  <si>
    <t>VENTAS DE PLACAS DE VADOS</t>
  </si>
  <si>
    <t>Total Concepto  360 VENTAS</t>
  </si>
  <si>
    <t>38900</t>
  </si>
  <si>
    <t>OTROS REINTEGROS DE OPERACIONES CORRIENTES</t>
  </si>
  <si>
    <t>38901</t>
  </si>
  <si>
    <t>REINTEGRO DE GASTOS OCASIONADOS EN EL CENTRO DE DETENIDOS</t>
  </si>
  <si>
    <t>Total Concepto  389 OTROS REINTEGROS DE OPERACIONES CORRIENTES</t>
  </si>
  <si>
    <t>39100</t>
  </si>
  <si>
    <t>MULTAS POR INFRACCIONES URBANISTICAS</t>
  </si>
  <si>
    <t>39120</t>
  </si>
  <si>
    <t>MULTAS POR INFRACCIONES DE LA ORDENANZA DE CIRCULACIÓN</t>
  </si>
  <si>
    <t>39190</t>
  </si>
  <si>
    <t>OTRAS MULTAS Y SANCIONES</t>
  </si>
  <si>
    <t>Total Concepto  391 MULTAS</t>
  </si>
  <si>
    <t>39210</t>
  </si>
  <si>
    <t>RECARGO EJECUTIVO</t>
  </si>
  <si>
    <t>39211</t>
  </si>
  <si>
    <t>RECARGO DE APREMIO</t>
  </si>
  <si>
    <t>Total Concepto  392 RECARGOS PERIODO EJECUTIVO X DECLAR.EXT.S/REQ.PREV</t>
  </si>
  <si>
    <t>39300</t>
  </si>
  <si>
    <t>INTERESES DE DEMORA</t>
  </si>
  <si>
    <t>Total Concepto  393 INTERESES DE DEMORA</t>
  </si>
  <si>
    <t>39700</t>
  </si>
  <si>
    <t>CANON POR APROVECHAMIENTO URBANÍSTICO</t>
  </si>
  <si>
    <t>Total Concepto  397 APROVECHAMIENTOS URBANISTICOS</t>
  </si>
  <si>
    <t>39904</t>
  </si>
  <si>
    <t>ING. NO PREV. PRESUPUESTO</t>
  </si>
  <si>
    <t>39914</t>
  </si>
  <si>
    <t>ING. NO PREV. PRESUPUESTO-REINTRO GAS</t>
  </si>
  <si>
    <t>Total Concepto  399 OTROS INGRESOS DIVERSOS</t>
  </si>
  <si>
    <t>42000</t>
  </si>
  <si>
    <t>PARTICIPACIÓN EN LOS TRIBUTOS DEL ESTADO (FONDO NACIONAL DE</t>
  </si>
  <si>
    <t>42001</t>
  </si>
  <si>
    <t>COMPENSACIÓN I.A.E.</t>
  </si>
  <si>
    <t>42090</t>
  </si>
  <si>
    <t>OTRAS TRANSFERENCIAS DEL ESTADO</t>
  </si>
  <si>
    <t>Total Concepto  420 DE LA ADMINISTRACION GENERAL DEL ESTADO</t>
  </si>
  <si>
    <t>42100</t>
  </si>
  <si>
    <t>OTRAS TRANSFERENCIAS DE ORGANISMOS AUTÓNOMOS</t>
  </si>
  <si>
    <t>42190</t>
  </si>
  <si>
    <t>Total Concepto  421 DE ORGANISMOS AUTONOMOS ADMINISTRATIVOS DEL ESTADO</t>
  </si>
  <si>
    <t>45000</t>
  </si>
  <si>
    <t>PARTICIPACIÓN EN EL FONDO CANARIO DE FINANCIACIÓN MUNICIPAL</t>
  </si>
  <si>
    <t>45001</t>
  </si>
  <si>
    <t>OTRAS TRANSF. DE LA CCAA</t>
  </si>
  <si>
    <t>45002</t>
  </si>
  <si>
    <t>DE LA CONSEJERÍA DE EMPLEO Y SERV. SOC. PLAN CONCERTADO. PCI</t>
  </si>
  <si>
    <t>45003</t>
  </si>
  <si>
    <t>TRANSFERENCIAS DE C.C.A.A.- SERVICIOS SOCIALES, FAMIL. Y</t>
  </si>
  <si>
    <t>45080</t>
  </si>
  <si>
    <t>OTRAS SUBVENCIONES DE LA CCAA</t>
  </si>
  <si>
    <t>Total Concepto  450 DE LA ADM GRAL. DE LA C.C.A.A.</t>
  </si>
  <si>
    <t>45101</t>
  </si>
  <si>
    <t>S.C.E. OTRAS TRANSFERENCIAS CORRIENTES</t>
  </si>
  <si>
    <t>Total Concepto  451 DE ORGANISMOS AUTONOMOS Y AGENCIAS DE CCAA</t>
  </si>
  <si>
    <t>46100</t>
  </si>
  <si>
    <t>PARTICIPACIÓN EN LOS IMPUESTOS DEL R.E.F. DE CANARIAS</t>
  </si>
  <si>
    <t>46101</t>
  </si>
  <si>
    <t>CABILDO SOSTEN. ESCUELA DE MÚSICA</t>
  </si>
  <si>
    <t>46103</t>
  </si>
  <si>
    <t>DEL CABILDO-TRANSFERENCIAS CORRIENTES SOSTENIMIENTO CADI SAN</t>
  </si>
  <si>
    <t>46105</t>
  </si>
  <si>
    <t>DEL CABILDO-TRANSFERENCIAS CORRIENTES DEL I.A.S.S.-CONVENIO</t>
  </si>
  <si>
    <t>46107</t>
  </si>
  <si>
    <t>CABILDO.-TRANSFERENCIAS CORRIENTES</t>
  </si>
  <si>
    <t>Total Concepto  461 DE DIPUTACIONES, CONSEJOS O CABILDOS</t>
  </si>
  <si>
    <t>47000</t>
  </si>
  <si>
    <t>OTRAS TRANSFERENCIAS EMPRESAS PRIVADAS</t>
  </si>
  <si>
    <t>Total Concepto  470 OTRAS TRANSFERENCIAS- EMPRESAS PRIVADAS</t>
  </si>
  <si>
    <t>52000</t>
  </si>
  <si>
    <t>INTERESES DE LOS DEPÓSITOS EN ENTIDADES FINANCIERAS</t>
  </si>
  <si>
    <t>Total Concepto  520 INTERESES DE DEPOSITOS</t>
  </si>
  <si>
    <t>53700</t>
  </si>
  <si>
    <t>DIVIDENDOS Y PARTICIPACIONES BENEF. EMPRESAS PRIVADAS</t>
  </si>
  <si>
    <t>Total Concepto  537 DE EMPRESAS PRIVADAS</t>
  </si>
  <si>
    <t>55001</t>
  </si>
  <si>
    <t>PRODUC. CONCESIONES ADMINISTRATIVAS</t>
  </si>
  <si>
    <t>55002</t>
  </si>
  <si>
    <t>POR EL PRODUCTO DE OTRAS CONCESIONES ADMINISTRATIVAS</t>
  </si>
  <si>
    <t>Total Concepto  550 CONCESIONES ADM- CONTRAPRESTACION PERIODICA</t>
  </si>
  <si>
    <t>55500</t>
  </si>
  <si>
    <t>RENTAS DEL APROVECHAMIENTO DEL AGUA</t>
  </si>
  <si>
    <t>Total Concepto  555 APROVECHAMIENTO ESPECIAL CON CONTRAPRESTACION</t>
  </si>
  <si>
    <t>59900</t>
  </si>
  <si>
    <t>CANON EXPLOTACIÓN SERVICIO DE AGUAS</t>
  </si>
  <si>
    <t>59901</t>
  </si>
  <si>
    <t>EXPLOTACIÓN PLANTA FOTOVOLTAICA</t>
  </si>
  <si>
    <t>Total Concepto  599 OTROS INGRESOS PATRIMONIALES</t>
  </si>
  <si>
    <t>75001</t>
  </si>
  <si>
    <t>FONDO CANARIO DE FINANCIACION MUNICIPAL</t>
  </si>
  <si>
    <t>Total Concepto  750 TRANSF. DE CAPITAL DE LA CCAA</t>
  </si>
  <si>
    <t>76101</t>
  </si>
  <si>
    <t>TRANSFERENCIAS DE CAPITAL DE CABILDO</t>
  </si>
  <si>
    <t>Total Concepto  761 DE CABILDOS INSULARES</t>
  </si>
  <si>
    <t>83100</t>
  </si>
  <si>
    <t>REINTEGRO DE ANTICIPOS Y PRÉSTAMOS A FUNCIONARIOS</t>
  </si>
  <si>
    <t>83101</t>
  </si>
  <si>
    <t>REINTEGRO DE ANTICIPOS Y PRÉSTAMOS AL PERSONAL LABORAL</t>
  </si>
  <si>
    <t>Total Concepto  831 A LARGO PLAZO</t>
  </si>
  <si>
    <t>87000</t>
  </si>
  <si>
    <t>REMANENTE TESORERIA PARA GTOS GRALES</t>
  </si>
  <si>
    <t>87010</t>
  </si>
  <si>
    <t>REMANENTE TESORERIA PARA GTOS FINANCIACION AFECTAD</t>
  </si>
  <si>
    <t>Total Concepto  870 REMANENTE DE TESORERIA</t>
  </si>
  <si>
    <t>91300</t>
  </si>
  <si>
    <t>PRESTAMO A LARGO PLAZO</t>
  </si>
  <si>
    <t>Total Concepto  913 PRESTAMOS RECIBIDOS A LARGO PLAZO-ENTES FUERA SECT</t>
  </si>
  <si>
    <t>Total Ingresos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</si>
</sst>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0.00\%"/>
  </numFmts>
  <fonts count="8">
    <font>
      <sz val="10"/>
      <color indexed="8"/>
      <name val="Arial"/>
      <family val="0"/>
    </font>
    <font>
      <sz val="10"/>
      <name val="Arial"/>
      <family val="0"/>
    </font>
    <font>
      <sz val="13"/>
      <color indexed="54"/>
      <name val="Arial"/>
      <family val="0"/>
    </font>
    <font>
      <sz val="10"/>
      <color indexed="54"/>
      <name val="Arial"/>
      <family val="0"/>
    </font>
    <font>
      <sz val="8"/>
      <color indexed="54"/>
      <name val="Arial"/>
      <family val="0"/>
    </font>
    <font>
      <b/>
      <sz val="7"/>
      <color indexed="54"/>
      <name val="serif"/>
      <family val="1"/>
    </font>
    <font>
      <sz val="10"/>
      <color indexed="8"/>
      <name val="serif"/>
      <family val="1"/>
    </font>
    <font>
      <sz val="7"/>
      <color indexed="54"/>
      <name val="serif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2" borderId="0" xfId="0" applyNumberFormat="1" applyFont="1" applyFill="1" applyBorder="1" applyAlignment="1" applyProtection="1">
      <alignment horizontal="left" vertical="top" wrapText="1"/>
      <protection/>
    </xf>
    <xf numFmtId="164" fontId="5" fillId="2" borderId="0" xfId="0" applyNumberFormat="1" applyFont="1" applyFill="1" applyAlignment="1" applyProtection="1">
      <alignment horizontal="center" vertical="top" wrapText="1"/>
      <protection/>
    </xf>
    <xf numFmtId="164" fontId="5" fillId="2" borderId="0" xfId="0" applyNumberFormat="1" applyFont="1" applyFill="1" applyBorder="1" applyAlignment="1" applyProtection="1">
      <alignment horizontal="center" vertical="top" wrapText="1"/>
      <protection/>
    </xf>
    <xf numFmtId="164" fontId="6" fillId="2" borderId="0" xfId="0" applyNumberFormat="1" applyFont="1" applyFill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5" fontId="7" fillId="0" borderId="0" xfId="0" applyNumberFormat="1" applyFont="1" applyFill="1" applyAlignment="1" applyProtection="1">
      <alignment horizontal="right" vertical="top" wrapText="1"/>
      <protection/>
    </xf>
    <xf numFmtId="165" fontId="7" fillId="0" borderId="0" xfId="0" applyNumberFormat="1" applyFont="1" applyFill="1" applyBorder="1" applyAlignment="1" applyProtection="1">
      <alignment horizontal="right" vertical="top" wrapText="1"/>
      <protection/>
    </xf>
    <xf numFmtId="164" fontId="7" fillId="0" borderId="2" xfId="0" applyNumberFormat="1" applyFont="1" applyFill="1" applyBorder="1" applyAlignment="1" applyProtection="1">
      <alignment horizontal="left" vertical="top" wrapText="1"/>
      <protection/>
    </xf>
    <xf numFmtId="164" fontId="6" fillId="0" borderId="2" xfId="0" applyNumberFormat="1" applyFont="1" applyFill="1" applyBorder="1" applyAlignment="1" applyProtection="1">
      <alignment horizontal="left" vertical="top" wrapText="1"/>
      <protection/>
    </xf>
    <xf numFmtId="165" fontId="7" fillId="0" borderId="2" xfId="0" applyNumberFormat="1" applyFont="1" applyFill="1" applyBorder="1" applyAlignment="1" applyProtection="1">
      <alignment horizontal="right" vertical="top" wrapText="1"/>
      <protection/>
    </xf>
    <xf numFmtId="166" fontId="7" fillId="0" borderId="2" xfId="0" applyNumberFormat="1" applyFont="1" applyFill="1" applyBorder="1" applyAlignment="1" applyProtection="1">
      <alignment horizontal="right" vertical="top" wrapText="1"/>
      <protection/>
    </xf>
    <xf numFmtId="164" fontId="5" fillId="0" borderId="0" xfId="0" applyNumberFormat="1" applyFont="1" applyFill="1" applyBorder="1" applyAlignment="1" applyProtection="1">
      <alignment horizontal="right" vertical="top" wrapText="1"/>
      <protection/>
    </xf>
    <xf numFmtId="164" fontId="6" fillId="0" borderId="0" xfId="0" applyNumberFormat="1" applyFont="1" applyFill="1" applyBorder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6" fontId="7" fillId="0" borderId="0" xfId="0" applyNumberFormat="1" applyFont="1" applyFill="1" applyAlignment="1" applyProtection="1">
      <alignment horizontal="right" vertical="top" wrapText="1"/>
      <protection/>
    </xf>
    <xf numFmtId="164" fontId="6" fillId="2" borderId="0" xfId="0" applyNumberFormat="1" applyFont="1" applyFill="1" applyBorder="1" applyAlignment="1" applyProtection="1">
      <alignment horizontal="left" vertical="top" wrapText="1"/>
      <protection/>
    </xf>
    <xf numFmtId="164" fontId="6" fillId="2" borderId="0" xfId="0" applyNumberFormat="1" applyFont="1" applyFill="1" applyAlignment="1" applyProtection="1">
      <alignment horizontal="left" vertical="top" wrapText="1"/>
      <protection/>
    </xf>
    <xf numFmtId="164" fontId="5" fillId="2" borderId="0" xfId="0" applyNumberFormat="1" applyFont="1" applyFill="1" applyBorder="1" applyAlignment="1" applyProtection="1">
      <alignment horizontal="right" vertical="top" wrapText="1"/>
      <protection/>
    </xf>
    <xf numFmtId="165" fontId="7" fillId="2" borderId="0" xfId="0" applyNumberFormat="1" applyFont="1" applyFill="1" applyAlignment="1" applyProtection="1">
      <alignment horizontal="right" vertical="top" wrapText="1"/>
      <protection/>
    </xf>
    <xf numFmtId="165" fontId="7" fillId="2" borderId="0" xfId="0" applyNumberFormat="1" applyFont="1" applyFill="1" applyBorder="1" applyAlignment="1" applyProtection="1">
      <alignment horizontal="right" vertical="top" wrapText="1"/>
      <protection/>
    </xf>
    <xf numFmtId="166" fontId="7" fillId="2" borderId="0" xfId="0" applyNumberFormat="1" applyFont="1" applyFill="1" applyAlignment="1" applyProtection="1">
      <alignment horizontal="righ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B599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1285875</xdr:colOff>
      <xdr:row>5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8.28125" style="0" customWidth="1"/>
    <col min="3" max="3" width="10.140625" style="0" customWidth="1"/>
    <col min="4" max="7" width="13.28125" style="0" customWidth="1"/>
    <col min="8" max="8" width="7.8515625" style="0" customWidth="1"/>
    <col min="9" max="9" width="5.421875" style="0" customWidth="1"/>
    <col min="10" max="10" width="4.57421875" style="0" customWidth="1"/>
    <col min="11" max="11" width="8.7109375" style="0" customWidth="1"/>
    <col min="12" max="14" width="13.28125" style="0" customWidth="1"/>
  </cols>
  <sheetData>
    <row r="1" spans="1:10" ht="12.75" customHeight="1">
      <c r="A1" s="1"/>
      <c r="B1" s="1"/>
      <c r="C1" s="2"/>
      <c r="D1" s="2"/>
      <c r="E1" s="2"/>
      <c r="F1" s="2"/>
      <c r="G1" s="2"/>
      <c r="H1" s="2"/>
      <c r="I1" s="1"/>
      <c r="J1" s="1"/>
    </row>
    <row r="2" spans="1:10" ht="12.75" customHeight="1">
      <c r="A2" s="1"/>
      <c r="B2" s="1"/>
      <c r="C2" s="3" t="s">
        <v>0</v>
      </c>
      <c r="D2" s="3"/>
      <c r="E2" s="3"/>
      <c r="F2" s="3"/>
      <c r="G2" s="3"/>
      <c r="H2" s="3"/>
      <c r="I2" s="1"/>
      <c r="J2" s="1"/>
    </row>
    <row r="3" spans="1:10" ht="12.75" customHeight="1">
      <c r="A3" s="1"/>
      <c r="B3" s="1"/>
      <c r="C3" s="4" t="s">
        <v>1</v>
      </c>
      <c r="D3" s="4"/>
      <c r="E3" s="4"/>
      <c r="F3" s="4"/>
      <c r="G3" s="4"/>
      <c r="H3" s="4"/>
      <c r="I3" s="1"/>
      <c r="J3" s="1"/>
    </row>
    <row r="4" spans="1:10" ht="12.75" customHeight="1">
      <c r="A4" s="1"/>
      <c r="B4" s="1"/>
      <c r="C4" s="5" t="s">
        <v>2</v>
      </c>
      <c r="D4" s="5"/>
      <c r="E4" s="5"/>
      <c r="F4" s="5"/>
      <c r="G4" s="5"/>
      <c r="H4" s="5"/>
      <c r="I4" s="1"/>
      <c r="J4" s="1"/>
    </row>
    <row r="5" spans="1:10" ht="12.75" customHeight="1">
      <c r="A5" s="1"/>
      <c r="B5" s="1"/>
      <c r="C5" s="5" t="s">
        <v>3</v>
      </c>
      <c r="D5" s="5"/>
      <c r="E5" s="5"/>
      <c r="F5" s="5"/>
      <c r="G5" s="5"/>
      <c r="H5" s="5"/>
      <c r="I5" s="1"/>
      <c r="J5" s="1"/>
    </row>
    <row r="6" spans="1:10" ht="90" customHeight="1">
      <c r="A6" s="1"/>
      <c r="B6" s="1"/>
      <c r="C6" s="5"/>
      <c r="D6" s="5"/>
      <c r="E6" s="5"/>
      <c r="F6" s="5"/>
      <c r="G6" s="5"/>
      <c r="H6" s="5"/>
      <c r="I6" s="1"/>
      <c r="J6" s="1"/>
    </row>
    <row r="7" spans="1:14" ht="12.75" customHeight="1">
      <c r="A7" s="6" t="s">
        <v>4</v>
      </c>
      <c r="B7" s="6"/>
      <c r="C7" s="6"/>
      <c r="D7" s="7" t="s">
        <v>5</v>
      </c>
      <c r="E7" s="7" t="s">
        <v>6</v>
      </c>
      <c r="F7" s="7" t="s">
        <v>7</v>
      </c>
      <c r="G7" s="7" t="s">
        <v>8</v>
      </c>
      <c r="H7" s="8" t="s">
        <v>9</v>
      </c>
      <c r="I7" s="8"/>
      <c r="J7" s="8" t="s">
        <v>10</v>
      </c>
      <c r="K7" s="8"/>
      <c r="L7" s="7" t="s">
        <v>11</v>
      </c>
      <c r="M7" s="7" t="s">
        <v>12</v>
      </c>
      <c r="N7" s="7" t="s">
        <v>13</v>
      </c>
    </row>
    <row r="8" spans="1:14" ht="12.75" customHeight="1">
      <c r="A8" s="8" t="s">
        <v>14</v>
      </c>
      <c r="B8" s="8"/>
      <c r="C8" s="8"/>
      <c r="D8" s="9"/>
      <c r="E8" s="7" t="s">
        <v>15</v>
      </c>
      <c r="F8" s="7" t="s">
        <v>16</v>
      </c>
      <c r="G8" s="7" t="s">
        <v>17</v>
      </c>
      <c r="H8" s="8" t="s">
        <v>18</v>
      </c>
      <c r="I8" s="8"/>
      <c r="J8" s="8" t="s">
        <v>19</v>
      </c>
      <c r="K8" s="8"/>
      <c r="L8" s="7" t="s">
        <v>20</v>
      </c>
      <c r="M8" s="7" t="s">
        <v>21</v>
      </c>
      <c r="N8" s="7" t="s">
        <v>22</v>
      </c>
    </row>
    <row r="9" spans="1:14" ht="12.75" customHeight="1">
      <c r="A9" s="10" t="s">
        <v>23</v>
      </c>
      <c r="B9" s="10"/>
      <c r="C9" s="10"/>
      <c r="D9" s="11">
        <f>ROUND(650000,2)</f>
        <v>650000</v>
      </c>
      <c r="E9" s="11">
        <f>ROUND(650000,2)</f>
        <v>650000</v>
      </c>
      <c r="F9" s="11">
        <f aca="true" t="shared" si="0" ref="F9:F12">ROUND(0,2)</f>
        <v>0</v>
      </c>
      <c r="G9" s="11">
        <f>ROUND(714052.7,2)</f>
        <v>714052.7</v>
      </c>
      <c r="H9" s="12">
        <f aca="true" t="shared" si="1" ref="H9:H12">ROUND(0,2)</f>
        <v>0</v>
      </c>
      <c r="I9" s="12"/>
      <c r="J9" s="12">
        <f>ROUND(0,2)</f>
        <v>0</v>
      </c>
      <c r="K9" s="12"/>
      <c r="L9" s="11">
        <f>ROUND(714052.7,2)</f>
        <v>714052.7</v>
      </c>
      <c r="M9" s="11">
        <f>ROUND(708860.7,2)</f>
        <v>708860.7</v>
      </c>
      <c r="N9" s="11">
        <f>ROUND(-58860.7,2)</f>
        <v>-58860.7</v>
      </c>
    </row>
    <row r="10" spans="1:14" ht="12.75" customHeight="1">
      <c r="A10" s="13" t="s">
        <v>24</v>
      </c>
      <c r="B10" s="13"/>
      <c r="C10" s="13"/>
      <c r="D10" s="14"/>
      <c r="E10" s="15">
        <f>ROUND(0,2)</f>
        <v>0</v>
      </c>
      <c r="F10" s="15">
        <f t="shared" si="0"/>
        <v>0</v>
      </c>
      <c r="G10" s="15">
        <f>ROUND(708860.7,2)</f>
        <v>708860.7</v>
      </c>
      <c r="H10" s="15">
        <f t="shared" si="1"/>
        <v>0</v>
      </c>
      <c r="I10" s="15"/>
      <c r="J10" s="15">
        <f>ROUND(714052.7,2)</f>
        <v>714052.7</v>
      </c>
      <c r="K10" s="15"/>
      <c r="L10" s="15">
        <f>ROUND(5192,2)</f>
        <v>5192</v>
      </c>
      <c r="M10" s="16">
        <v>109.05549230769229</v>
      </c>
      <c r="N10" s="16">
        <v>100</v>
      </c>
    </row>
    <row r="11" spans="1:14" ht="12.75" customHeight="1">
      <c r="A11" s="17" t="s">
        <v>25</v>
      </c>
      <c r="B11" s="17"/>
      <c r="C11" s="17"/>
      <c r="D11" s="11">
        <f>ROUND(650000,2)</f>
        <v>650000</v>
      </c>
      <c r="E11" s="11">
        <f>ROUND(650000,2)</f>
        <v>650000</v>
      </c>
      <c r="F11" s="11">
        <f t="shared" si="0"/>
        <v>0</v>
      </c>
      <c r="G11" s="11">
        <f>ROUND(714052.7,2)</f>
        <v>714052.7</v>
      </c>
      <c r="H11" s="12">
        <f t="shared" si="1"/>
        <v>0</v>
      </c>
      <c r="I11" s="12"/>
      <c r="J11" s="12">
        <f>ROUND(0,2)</f>
        <v>0</v>
      </c>
      <c r="K11" s="12"/>
      <c r="L11" s="11">
        <f>ROUND(714052.7,2)</f>
        <v>714052.7</v>
      </c>
      <c r="M11" s="11">
        <f>ROUND(708860.7,2)</f>
        <v>708860.7</v>
      </c>
      <c r="N11" s="11">
        <f>ROUND(-58860.7,2)</f>
        <v>-58860.7</v>
      </c>
    </row>
    <row r="12" spans="1:14" ht="12.75" customHeight="1">
      <c r="A12" s="18"/>
      <c r="B12" s="18"/>
      <c r="C12" s="18"/>
      <c r="D12" s="19"/>
      <c r="E12" s="11">
        <f>ROUND(0,2)</f>
        <v>0</v>
      </c>
      <c r="F12" s="11">
        <f t="shared" si="0"/>
        <v>0</v>
      </c>
      <c r="G12" s="11">
        <f>ROUND(708860.7,2)</f>
        <v>708860.7</v>
      </c>
      <c r="H12" s="12">
        <f t="shared" si="1"/>
        <v>0</v>
      </c>
      <c r="I12" s="12"/>
      <c r="J12" s="12">
        <f>ROUND(714052.7,2)</f>
        <v>714052.7</v>
      </c>
      <c r="K12" s="12"/>
      <c r="L12" s="11">
        <f>ROUND(5192,2)</f>
        <v>5192</v>
      </c>
      <c r="M12" s="20">
        <v>109.05549230769229</v>
      </c>
      <c r="N12" s="20">
        <v>100</v>
      </c>
    </row>
    <row r="13" spans="1:14" ht="18" customHeight="1">
      <c r="A13" s="18"/>
      <c r="B13" s="18"/>
      <c r="C13" s="18"/>
      <c r="D13" s="19"/>
      <c r="E13" s="19"/>
      <c r="F13" s="19"/>
      <c r="G13" s="19"/>
      <c r="H13" s="18"/>
      <c r="I13" s="18"/>
      <c r="J13" s="18"/>
      <c r="K13" s="18"/>
      <c r="L13" s="19"/>
      <c r="M13" s="19"/>
      <c r="N13" s="19"/>
    </row>
    <row r="14" spans="1:14" ht="12.75" customHeight="1">
      <c r="A14" s="10" t="s">
        <v>26</v>
      </c>
      <c r="B14" s="10"/>
      <c r="C14" s="10"/>
      <c r="D14" s="11">
        <f>ROUND(6960000,2)</f>
        <v>6960000</v>
      </c>
      <c r="E14" s="11">
        <f>ROUND(6960000,2)</f>
        <v>6960000</v>
      </c>
      <c r="F14" s="11">
        <f aca="true" t="shared" si="2" ref="F14:F17">ROUND(0,2)</f>
        <v>0</v>
      </c>
      <c r="G14" s="11">
        <f>ROUND(5607998.02,2)</f>
        <v>5607998.02</v>
      </c>
      <c r="H14" s="12">
        <f aca="true" t="shared" si="3" ref="H14:H17">ROUND(0,2)</f>
        <v>0</v>
      </c>
      <c r="I14" s="12"/>
      <c r="J14" s="12">
        <f>ROUND(-0.000000000291038304567337,2)</f>
        <v>0</v>
      </c>
      <c r="K14" s="12"/>
      <c r="L14" s="11">
        <f>ROUND(5607998.02,2)</f>
        <v>5607998.02</v>
      </c>
      <c r="M14" s="11">
        <f>ROUND(5528148.2,2)</f>
        <v>5528148.2</v>
      </c>
      <c r="N14" s="11">
        <f>ROUND(1431851.8,2)</f>
        <v>1431851.8</v>
      </c>
    </row>
    <row r="15" spans="1:14" ht="12.75" customHeight="1">
      <c r="A15" s="13" t="s">
        <v>27</v>
      </c>
      <c r="B15" s="13"/>
      <c r="C15" s="13"/>
      <c r="D15" s="14"/>
      <c r="E15" s="15">
        <f>ROUND(0,2)</f>
        <v>0</v>
      </c>
      <c r="F15" s="15">
        <f t="shared" si="2"/>
        <v>0</v>
      </c>
      <c r="G15" s="15">
        <f>ROUND(5528148.2,2)</f>
        <v>5528148.2</v>
      </c>
      <c r="H15" s="15">
        <f t="shared" si="3"/>
        <v>0</v>
      </c>
      <c r="I15" s="15"/>
      <c r="J15" s="15">
        <f>ROUND(5607998.02,2)</f>
        <v>5607998.02</v>
      </c>
      <c r="K15" s="15"/>
      <c r="L15" s="15">
        <f>ROUND(79849.82,2)</f>
        <v>79849.82</v>
      </c>
      <c r="M15" s="16">
        <v>79.42741666666666</v>
      </c>
      <c r="N15" s="16">
        <v>100</v>
      </c>
    </row>
    <row r="16" spans="1:14" ht="12.75" customHeight="1">
      <c r="A16" s="17" t="s">
        <v>28</v>
      </c>
      <c r="B16" s="17"/>
      <c r="C16" s="17"/>
      <c r="D16" s="11">
        <f>ROUND(6960000,2)</f>
        <v>6960000</v>
      </c>
      <c r="E16" s="11">
        <f>ROUND(6960000,2)</f>
        <v>6960000</v>
      </c>
      <c r="F16" s="11">
        <f t="shared" si="2"/>
        <v>0</v>
      </c>
      <c r="G16" s="11">
        <f>ROUND(5607998.02,2)</f>
        <v>5607998.02</v>
      </c>
      <c r="H16" s="12">
        <f t="shared" si="3"/>
        <v>0</v>
      </c>
      <c r="I16" s="12"/>
      <c r="J16" s="12">
        <f>ROUND(-0.000000000291038304567337,2)</f>
        <v>0</v>
      </c>
      <c r="K16" s="12"/>
      <c r="L16" s="11">
        <f>ROUND(5607998.02,2)</f>
        <v>5607998.02</v>
      </c>
      <c r="M16" s="11">
        <f>ROUND(5528148.2,2)</f>
        <v>5528148.2</v>
      </c>
      <c r="N16" s="11">
        <f>ROUND(1431851.8,2)</f>
        <v>1431851.8</v>
      </c>
    </row>
    <row r="17" spans="1:14" ht="12.75" customHeight="1">
      <c r="A17" s="18"/>
      <c r="B17" s="18"/>
      <c r="C17" s="18"/>
      <c r="D17" s="19"/>
      <c r="E17" s="11">
        <f>ROUND(0,2)</f>
        <v>0</v>
      </c>
      <c r="F17" s="11">
        <f t="shared" si="2"/>
        <v>0</v>
      </c>
      <c r="G17" s="11">
        <f>ROUND(5528148.2,2)</f>
        <v>5528148.2</v>
      </c>
      <c r="H17" s="12">
        <f t="shared" si="3"/>
        <v>0</v>
      </c>
      <c r="I17" s="12"/>
      <c r="J17" s="12">
        <f>ROUND(5607998.02,2)</f>
        <v>5607998.02</v>
      </c>
      <c r="K17" s="12"/>
      <c r="L17" s="11">
        <f>ROUND(79849.82,2)</f>
        <v>79849.82</v>
      </c>
      <c r="M17" s="20">
        <v>79.42741666666666</v>
      </c>
      <c r="N17" s="20">
        <v>100</v>
      </c>
    </row>
    <row r="18" spans="1:14" ht="18" customHeight="1">
      <c r="A18" s="18"/>
      <c r="B18" s="18"/>
      <c r="C18" s="18"/>
      <c r="D18" s="19"/>
      <c r="E18" s="19"/>
      <c r="F18" s="19"/>
      <c r="G18" s="19"/>
      <c r="H18" s="18"/>
      <c r="I18" s="18"/>
      <c r="J18" s="18"/>
      <c r="K18" s="18"/>
      <c r="L18" s="19"/>
      <c r="M18" s="19"/>
      <c r="N18" s="19"/>
    </row>
    <row r="19" spans="1:14" ht="12.75" customHeight="1">
      <c r="A19" s="10" t="s">
        <v>29</v>
      </c>
      <c r="B19" s="10"/>
      <c r="C19" s="10"/>
      <c r="D19" s="11">
        <f>ROUND(2460000,2)</f>
        <v>2460000</v>
      </c>
      <c r="E19" s="11">
        <f>ROUND(2460000,2)</f>
        <v>2460000</v>
      </c>
      <c r="F19" s="11">
        <f aca="true" t="shared" si="4" ref="F19:F22">ROUND(0,2)</f>
        <v>0</v>
      </c>
      <c r="G19" s="11">
        <f aca="true" t="shared" si="5" ref="G19:G22">ROUND(2294749.12,2)</f>
        <v>2294749.12</v>
      </c>
      <c r="H19" s="12">
        <f aca="true" t="shared" si="6" ref="H19:H22">ROUND(0,2)</f>
        <v>0</v>
      </c>
      <c r="I19" s="12"/>
      <c r="J19" s="12">
        <f>ROUND(0,2)</f>
        <v>0</v>
      </c>
      <c r="K19" s="12"/>
      <c r="L19" s="11">
        <f>ROUND(2294749.12,2)</f>
        <v>2294749.12</v>
      </c>
      <c r="M19" s="11">
        <f>ROUND(2294749.12,2)</f>
        <v>2294749.12</v>
      </c>
      <c r="N19" s="11">
        <f>ROUND(165250.88,2)</f>
        <v>165250.88</v>
      </c>
    </row>
    <row r="20" spans="1:14" ht="12.75" customHeight="1">
      <c r="A20" s="13" t="s">
        <v>30</v>
      </c>
      <c r="B20" s="13"/>
      <c r="C20" s="13"/>
      <c r="D20" s="14"/>
      <c r="E20" s="15">
        <f>ROUND(0,2)</f>
        <v>0</v>
      </c>
      <c r="F20" s="15">
        <f t="shared" si="4"/>
        <v>0</v>
      </c>
      <c r="G20" s="15">
        <f t="shared" si="5"/>
        <v>2294749.12</v>
      </c>
      <c r="H20" s="15">
        <f t="shared" si="6"/>
        <v>0</v>
      </c>
      <c r="I20" s="15"/>
      <c r="J20" s="15">
        <f>ROUND(2294749.12,2)</f>
        <v>2294749.12</v>
      </c>
      <c r="K20" s="15"/>
      <c r="L20" s="15">
        <f>ROUND(0,2)</f>
        <v>0</v>
      </c>
      <c r="M20" s="16">
        <v>93.28248455284553</v>
      </c>
      <c r="N20" s="16">
        <v>100</v>
      </c>
    </row>
    <row r="21" spans="1:14" ht="12.75" customHeight="1">
      <c r="A21" s="17" t="s">
        <v>31</v>
      </c>
      <c r="B21" s="17"/>
      <c r="C21" s="17"/>
      <c r="D21" s="11">
        <f>ROUND(2460000,2)</f>
        <v>2460000</v>
      </c>
      <c r="E21" s="11">
        <f>ROUND(2460000,2)</f>
        <v>2460000</v>
      </c>
      <c r="F21" s="11">
        <f t="shared" si="4"/>
        <v>0</v>
      </c>
      <c r="G21" s="11">
        <f t="shared" si="5"/>
        <v>2294749.12</v>
      </c>
      <c r="H21" s="12">
        <f t="shared" si="6"/>
        <v>0</v>
      </c>
      <c r="I21" s="12"/>
      <c r="J21" s="12">
        <f>ROUND(0,2)</f>
        <v>0</v>
      </c>
      <c r="K21" s="12"/>
      <c r="L21" s="11">
        <f>ROUND(2294749.12,2)</f>
        <v>2294749.12</v>
      </c>
      <c r="M21" s="11">
        <f>ROUND(2294749.12,2)</f>
        <v>2294749.12</v>
      </c>
      <c r="N21" s="11">
        <f>ROUND(165250.88,2)</f>
        <v>165250.88</v>
      </c>
    </row>
    <row r="22" spans="1:14" ht="12.75" customHeight="1">
      <c r="A22" s="18"/>
      <c r="B22" s="18"/>
      <c r="C22" s="18"/>
      <c r="D22" s="19"/>
      <c r="E22" s="11">
        <f>ROUND(0,2)</f>
        <v>0</v>
      </c>
      <c r="F22" s="11">
        <f t="shared" si="4"/>
        <v>0</v>
      </c>
      <c r="G22" s="11">
        <f t="shared" si="5"/>
        <v>2294749.12</v>
      </c>
      <c r="H22" s="12">
        <f t="shared" si="6"/>
        <v>0</v>
      </c>
      <c r="I22" s="12"/>
      <c r="J22" s="12">
        <f>ROUND(2294749.12,2)</f>
        <v>2294749.12</v>
      </c>
      <c r="K22" s="12"/>
      <c r="L22" s="11">
        <f>ROUND(0,2)</f>
        <v>0</v>
      </c>
      <c r="M22" s="20">
        <v>93.28248455284553</v>
      </c>
      <c r="N22" s="20">
        <v>100</v>
      </c>
    </row>
    <row r="23" spans="1:14" ht="18" customHeight="1">
      <c r="A23" s="18"/>
      <c r="B23" s="18"/>
      <c r="C23" s="18"/>
      <c r="D23" s="19"/>
      <c r="E23" s="19"/>
      <c r="F23" s="19"/>
      <c r="G23" s="19"/>
      <c r="H23" s="18"/>
      <c r="I23" s="18"/>
      <c r="J23" s="18"/>
      <c r="K23" s="18"/>
      <c r="L23" s="19"/>
      <c r="M23" s="19"/>
      <c r="N23" s="19"/>
    </row>
    <row r="24" spans="1:14" ht="12.75" customHeight="1">
      <c r="A24" s="10" t="s">
        <v>32</v>
      </c>
      <c r="B24" s="10"/>
      <c r="C24" s="10"/>
      <c r="D24" s="11">
        <f>ROUND(1480000,2)</f>
        <v>1480000</v>
      </c>
      <c r="E24" s="11">
        <f>ROUND(1480000,2)</f>
        <v>1480000</v>
      </c>
      <c r="F24" s="11">
        <f aca="true" t="shared" si="7" ref="F24:F27">ROUND(0,2)</f>
        <v>0</v>
      </c>
      <c r="G24" s="11">
        <f>ROUND(1475674.54,2)</f>
        <v>1475674.54</v>
      </c>
      <c r="H24" s="12">
        <f aca="true" t="shared" si="8" ref="H24:H27">ROUND(0,2)</f>
        <v>0</v>
      </c>
      <c r="I24" s="12"/>
      <c r="J24" s="12">
        <f>ROUND(-0.00000000000909494701772928,2)</f>
        <v>0</v>
      </c>
      <c r="K24" s="12"/>
      <c r="L24" s="11">
        <f>ROUND(1475674.54,2)</f>
        <v>1475674.54</v>
      </c>
      <c r="M24" s="11">
        <f>ROUND(1471497.28,2)</f>
        <v>1471497.28</v>
      </c>
      <c r="N24" s="11">
        <f>ROUND(8502.71999999997,2)</f>
        <v>8502.72</v>
      </c>
    </row>
    <row r="25" spans="1:14" ht="12.75" customHeight="1">
      <c r="A25" s="13" t="s">
        <v>33</v>
      </c>
      <c r="B25" s="13"/>
      <c r="C25" s="13"/>
      <c r="D25" s="14"/>
      <c r="E25" s="15">
        <f>ROUND(0,2)</f>
        <v>0</v>
      </c>
      <c r="F25" s="15">
        <f t="shared" si="7"/>
        <v>0</v>
      </c>
      <c r="G25" s="15">
        <f>ROUND(1471497.28,2)</f>
        <v>1471497.28</v>
      </c>
      <c r="H25" s="15">
        <f t="shared" si="8"/>
        <v>0</v>
      </c>
      <c r="I25" s="15"/>
      <c r="J25" s="15">
        <f>ROUND(1475674.54,2)</f>
        <v>1475674.54</v>
      </c>
      <c r="K25" s="15"/>
      <c r="L25" s="15">
        <f>ROUND(4177.26,2)</f>
        <v>4177.26</v>
      </c>
      <c r="M25" s="16">
        <v>99.4254918918919</v>
      </c>
      <c r="N25" s="16">
        <v>100</v>
      </c>
    </row>
    <row r="26" spans="1:14" ht="12.75" customHeight="1">
      <c r="A26" s="17" t="s">
        <v>34</v>
      </c>
      <c r="B26" s="17"/>
      <c r="C26" s="17"/>
      <c r="D26" s="11">
        <f>ROUND(1480000,2)</f>
        <v>1480000</v>
      </c>
      <c r="E26" s="11">
        <f>ROUND(1480000,2)</f>
        <v>1480000</v>
      </c>
      <c r="F26" s="11">
        <f t="shared" si="7"/>
        <v>0</v>
      </c>
      <c r="G26" s="11">
        <f>ROUND(1475674.54,2)</f>
        <v>1475674.54</v>
      </c>
      <c r="H26" s="12">
        <f t="shared" si="8"/>
        <v>0</v>
      </c>
      <c r="I26" s="12"/>
      <c r="J26" s="12">
        <f>ROUND(-0.00000000000909494701772928,2)</f>
        <v>0</v>
      </c>
      <c r="K26" s="12"/>
      <c r="L26" s="11">
        <f>ROUND(1475674.54,2)</f>
        <v>1475674.54</v>
      </c>
      <c r="M26" s="11">
        <f>ROUND(1471497.28,2)</f>
        <v>1471497.28</v>
      </c>
      <c r="N26" s="11">
        <f>ROUND(8502.71999999997,2)</f>
        <v>8502.72</v>
      </c>
    </row>
    <row r="27" spans="1:14" ht="12.75" customHeight="1">
      <c r="A27" s="18"/>
      <c r="B27" s="18"/>
      <c r="C27" s="18"/>
      <c r="D27" s="19"/>
      <c r="E27" s="11">
        <f>ROUND(0,2)</f>
        <v>0</v>
      </c>
      <c r="F27" s="11">
        <f t="shared" si="7"/>
        <v>0</v>
      </c>
      <c r="G27" s="11">
        <f>ROUND(1471497.28,2)</f>
        <v>1471497.28</v>
      </c>
      <c r="H27" s="12">
        <f t="shared" si="8"/>
        <v>0</v>
      </c>
      <c r="I27" s="12"/>
      <c r="J27" s="12">
        <f>ROUND(1475674.54,2)</f>
        <v>1475674.54</v>
      </c>
      <c r="K27" s="12"/>
      <c r="L27" s="11">
        <f>ROUND(4177.26,2)</f>
        <v>4177.26</v>
      </c>
      <c r="M27" s="20">
        <v>99.4254918918919</v>
      </c>
      <c r="N27" s="20">
        <v>100</v>
      </c>
    </row>
    <row r="28" spans="1:14" ht="18" customHeight="1">
      <c r="A28" s="18"/>
      <c r="B28" s="18"/>
      <c r="C28" s="18"/>
      <c r="D28" s="19"/>
      <c r="E28" s="19"/>
      <c r="F28" s="19"/>
      <c r="G28" s="19"/>
      <c r="H28" s="18"/>
      <c r="I28" s="18"/>
      <c r="J28" s="18"/>
      <c r="K28" s="18"/>
      <c r="L28" s="19"/>
      <c r="M28" s="19"/>
      <c r="N28" s="19"/>
    </row>
    <row r="29" spans="1:14" ht="12.75" customHeight="1">
      <c r="A29" s="10" t="s">
        <v>35</v>
      </c>
      <c r="B29" s="10"/>
      <c r="C29" s="10"/>
      <c r="D29" s="11">
        <f>ROUND(950000,2)</f>
        <v>950000</v>
      </c>
      <c r="E29" s="11">
        <f>ROUND(950000,2)</f>
        <v>950000</v>
      </c>
      <c r="F29" s="11">
        <f aca="true" t="shared" si="9" ref="F29:F32">ROUND(0,2)</f>
        <v>0</v>
      </c>
      <c r="G29" s="11">
        <f>ROUND(1802667.4,2)</f>
        <v>1802667.4</v>
      </c>
      <c r="H29" s="12">
        <f aca="true" t="shared" si="10" ref="H29:H32">ROUND(0,2)</f>
        <v>0</v>
      </c>
      <c r="I29" s="12"/>
      <c r="J29" s="12">
        <f>ROUND(1450.64999999985,2)</f>
        <v>1450.65</v>
      </c>
      <c r="K29" s="12"/>
      <c r="L29" s="11">
        <f>ROUND(1801216.75,2)</f>
        <v>1801216.75</v>
      </c>
      <c r="M29" s="11">
        <f>ROUND(1716633.18,2)</f>
        <v>1716633.18</v>
      </c>
      <c r="N29" s="11">
        <f>ROUND(-768083.83,2)</f>
        <v>-768083.83</v>
      </c>
    </row>
    <row r="30" spans="1:14" ht="12.75" customHeight="1">
      <c r="A30" s="13" t="s">
        <v>36</v>
      </c>
      <c r="B30" s="13"/>
      <c r="C30" s="13"/>
      <c r="D30" s="14"/>
      <c r="E30" s="15">
        <f>ROUND(0,2)</f>
        <v>0</v>
      </c>
      <c r="F30" s="15">
        <f t="shared" si="9"/>
        <v>0</v>
      </c>
      <c r="G30" s="15">
        <f>ROUND(1718083.83,2)</f>
        <v>1718083.83</v>
      </c>
      <c r="H30" s="15">
        <f t="shared" si="10"/>
        <v>0</v>
      </c>
      <c r="I30" s="15"/>
      <c r="J30" s="15">
        <f>ROUND(1801216.75,2)</f>
        <v>1801216.75</v>
      </c>
      <c r="K30" s="15"/>
      <c r="L30" s="15">
        <f>ROUND(84583.57,2)</f>
        <v>84583.57</v>
      </c>
      <c r="M30" s="16">
        <v>180.8509294736842</v>
      </c>
      <c r="N30" s="16">
        <v>99.91556581962593</v>
      </c>
    </row>
    <row r="31" spans="1:14" ht="12.75" customHeight="1">
      <c r="A31" s="17" t="s">
        <v>37</v>
      </c>
      <c r="B31" s="17"/>
      <c r="C31" s="17"/>
      <c r="D31" s="11">
        <f>ROUND(950000,2)</f>
        <v>950000</v>
      </c>
      <c r="E31" s="11">
        <f>ROUND(950000,2)</f>
        <v>950000</v>
      </c>
      <c r="F31" s="11">
        <f t="shared" si="9"/>
        <v>0</v>
      </c>
      <c r="G31" s="11">
        <f>ROUND(1802667.4,2)</f>
        <v>1802667.4</v>
      </c>
      <c r="H31" s="12">
        <f t="shared" si="10"/>
        <v>0</v>
      </c>
      <c r="I31" s="12"/>
      <c r="J31" s="12">
        <f>ROUND(1450.64999999985,2)</f>
        <v>1450.65</v>
      </c>
      <c r="K31" s="12"/>
      <c r="L31" s="11">
        <f>ROUND(1801216.75,2)</f>
        <v>1801216.75</v>
      </c>
      <c r="M31" s="11">
        <f>ROUND(1716633.18,2)</f>
        <v>1716633.18</v>
      </c>
      <c r="N31" s="11">
        <f>ROUND(-768083.83,2)</f>
        <v>-768083.83</v>
      </c>
    </row>
    <row r="32" spans="1:14" ht="12.75" customHeight="1">
      <c r="A32" s="18"/>
      <c r="B32" s="18"/>
      <c r="C32" s="18"/>
      <c r="D32" s="19"/>
      <c r="E32" s="11">
        <f>ROUND(0,2)</f>
        <v>0</v>
      </c>
      <c r="F32" s="11">
        <f t="shared" si="9"/>
        <v>0</v>
      </c>
      <c r="G32" s="11">
        <f>ROUND(1718083.83,2)</f>
        <v>1718083.83</v>
      </c>
      <c r="H32" s="12">
        <f t="shared" si="10"/>
        <v>0</v>
      </c>
      <c r="I32" s="12"/>
      <c r="J32" s="12">
        <f>ROUND(1801216.75,2)</f>
        <v>1801216.75</v>
      </c>
      <c r="K32" s="12"/>
      <c r="L32" s="11">
        <f>ROUND(84583.57,2)</f>
        <v>84583.57</v>
      </c>
      <c r="M32" s="20">
        <v>180.8509294736842</v>
      </c>
      <c r="N32" s="20">
        <v>99.91556581962593</v>
      </c>
    </row>
    <row r="33" spans="1:14" ht="18" customHeight="1">
      <c r="A33" s="18"/>
      <c r="B33" s="18"/>
      <c r="C33" s="18"/>
      <c r="D33" s="19"/>
      <c r="E33" s="19"/>
      <c r="F33" s="19"/>
      <c r="G33" s="19"/>
      <c r="H33" s="18"/>
      <c r="I33" s="18"/>
      <c r="J33" s="18"/>
      <c r="K33" s="18"/>
      <c r="L33" s="19"/>
      <c r="M33" s="19"/>
      <c r="N33" s="19"/>
    </row>
    <row r="34" spans="1:14" ht="12.75" customHeight="1">
      <c r="A34" s="10" t="s">
        <v>38</v>
      </c>
      <c r="B34" s="10"/>
      <c r="C34" s="10"/>
      <c r="D34" s="11">
        <f>ROUND(1100000,2)</f>
        <v>1100000</v>
      </c>
      <c r="E34" s="11">
        <f>ROUND(1100000,2)</f>
        <v>1100000</v>
      </c>
      <c r="F34" s="11">
        <f aca="true" t="shared" si="11" ref="F34:F37">ROUND(0,2)</f>
        <v>0</v>
      </c>
      <c r="G34" s="11">
        <f aca="true" t="shared" si="12" ref="G34:G37">ROUND(1096068.93,2)</f>
        <v>1096068.93</v>
      </c>
      <c r="H34" s="12">
        <f aca="true" t="shared" si="13" ref="H34:H37">ROUND(0,2)</f>
        <v>0</v>
      </c>
      <c r="I34" s="12"/>
      <c r="J34" s="12">
        <f>ROUND(411.809999999823,2)</f>
        <v>411.81</v>
      </c>
      <c r="K34" s="12"/>
      <c r="L34" s="11">
        <f>ROUND(1095657.12,2)</f>
        <v>1095657.12</v>
      </c>
      <c r="M34" s="11">
        <f>ROUND(1095657.12,2)</f>
        <v>1095657.12</v>
      </c>
      <c r="N34" s="11">
        <f>ROUND(3931.07000000007,2)</f>
        <v>3931.07</v>
      </c>
    </row>
    <row r="35" spans="1:14" ht="12.75" customHeight="1">
      <c r="A35" s="13" t="s">
        <v>39</v>
      </c>
      <c r="B35" s="13"/>
      <c r="C35" s="13"/>
      <c r="D35" s="14"/>
      <c r="E35" s="15">
        <f>ROUND(0,2)</f>
        <v>0</v>
      </c>
      <c r="F35" s="15">
        <f t="shared" si="11"/>
        <v>0</v>
      </c>
      <c r="G35" s="15">
        <f t="shared" si="12"/>
        <v>1096068.93</v>
      </c>
      <c r="H35" s="15">
        <f t="shared" si="13"/>
        <v>0</v>
      </c>
      <c r="I35" s="15"/>
      <c r="J35" s="15">
        <f>ROUND(1095657.12,2)</f>
        <v>1095657.12</v>
      </c>
      <c r="K35" s="15"/>
      <c r="L35" s="15">
        <f>ROUND(0,2)</f>
        <v>0</v>
      </c>
      <c r="M35" s="16">
        <v>99.64263</v>
      </c>
      <c r="N35" s="16">
        <v>99.96242845785257</v>
      </c>
    </row>
    <row r="36" spans="1:14" ht="12.75" customHeight="1">
      <c r="A36" s="17" t="s">
        <v>40</v>
      </c>
      <c r="B36" s="17"/>
      <c r="C36" s="17"/>
      <c r="D36" s="11">
        <f>ROUND(1100000,2)</f>
        <v>1100000</v>
      </c>
      <c r="E36" s="11">
        <f>ROUND(1100000,2)</f>
        <v>1100000</v>
      </c>
      <c r="F36" s="11">
        <f t="shared" si="11"/>
        <v>0</v>
      </c>
      <c r="G36" s="11">
        <f t="shared" si="12"/>
        <v>1096068.93</v>
      </c>
      <c r="H36" s="12">
        <f t="shared" si="13"/>
        <v>0</v>
      </c>
      <c r="I36" s="12"/>
      <c r="J36" s="12">
        <f>ROUND(411.809999999823,2)</f>
        <v>411.81</v>
      </c>
      <c r="K36" s="12"/>
      <c r="L36" s="11">
        <f>ROUND(1095657.12,2)</f>
        <v>1095657.12</v>
      </c>
      <c r="M36" s="11">
        <f>ROUND(1095657.12,2)</f>
        <v>1095657.12</v>
      </c>
      <c r="N36" s="11">
        <f>ROUND(3931.07000000007,2)</f>
        <v>3931.07</v>
      </c>
    </row>
    <row r="37" spans="1:14" ht="12.75" customHeight="1">
      <c r="A37" s="18"/>
      <c r="B37" s="18"/>
      <c r="C37" s="18"/>
      <c r="D37" s="19"/>
      <c r="E37" s="11">
        <f>ROUND(0,2)</f>
        <v>0</v>
      </c>
      <c r="F37" s="11">
        <f t="shared" si="11"/>
        <v>0</v>
      </c>
      <c r="G37" s="11">
        <f t="shared" si="12"/>
        <v>1096068.93</v>
      </c>
      <c r="H37" s="12">
        <f t="shared" si="13"/>
        <v>0</v>
      </c>
      <c r="I37" s="12"/>
      <c r="J37" s="12">
        <f>ROUND(1095657.12,2)</f>
        <v>1095657.12</v>
      </c>
      <c r="K37" s="12"/>
      <c r="L37" s="11">
        <f>ROUND(0,2)</f>
        <v>0</v>
      </c>
      <c r="M37" s="20">
        <v>99.64263</v>
      </c>
      <c r="N37" s="20">
        <v>99.96242845785257</v>
      </c>
    </row>
    <row r="38" spans="1:14" ht="18" customHeight="1">
      <c r="A38" s="18"/>
      <c r="B38" s="18"/>
      <c r="C38" s="18"/>
      <c r="D38" s="19"/>
      <c r="E38" s="19"/>
      <c r="F38" s="19"/>
      <c r="G38" s="19"/>
      <c r="H38" s="18"/>
      <c r="I38" s="18"/>
      <c r="J38" s="18"/>
      <c r="K38" s="18"/>
      <c r="L38" s="19"/>
      <c r="M38" s="19"/>
      <c r="N38" s="19"/>
    </row>
    <row r="39" spans="1:14" ht="12.75" customHeight="1">
      <c r="A39" s="10" t="s">
        <v>41</v>
      </c>
      <c r="B39" s="10"/>
      <c r="C39" s="10"/>
      <c r="D39" s="11">
        <f>ROUND(1178977.33,2)</f>
        <v>1178977.33</v>
      </c>
      <c r="E39" s="11">
        <f>ROUND(1178977.33,2)</f>
        <v>1178977.33</v>
      </c>
      <c r="F39" s="11">
        <f aca="true" t="shared" si="14" ref="F39:F42">ROUND(0,2)</f>
        <v>0</v>
      </c>
      <c r="G39" s="11">
        <f aca="true" t="shared" si="15" ref="G39:G42">ROUND(1013827.03,2)</f>
        <v>1013827.03</v>
      </c>
      <c r="H39" s="12">
        <f aca="true" t="shared" si="16" ref="H39:H42">ROUND(0,2)</f>
        <v>0</v>
      </c>
      <c r="I39" s="12"/>
      <c r="J39" s="12">
        <f>ROUND(223821.43,2)</f>
        <v>223821.43</v>
      </c>
      <c r="K39" s="12"/>
      <c r="L39" s="11">
        <f>ROUND(790005.6,2)</f>
        <v>790005.6</v>
      </c>
      <c r="M39" s="11">
        <f>ROUND(790005.6,2)</f>
        <v>790005.6</v>
      </c>
      <c r="N39" s="11">
        <f>ROUND(165150.3,2)</f>
        <v>165150.3</v>
      </c>
    </row>
    <row r="40" spans="1:14" ht="12.75" customHeight="1">
      <c r="A40" s="13" t="s">
        <v>42</v>
      </c>
      <c r="B40" s="13"/>
      <c r="C40" s="13"/>
      <c r="D40" s="14"/>
      <c r="E40" s="15">
        <f>ROUND(0,2)</f>
        <v>0</v>
      </c>
      <c r="F40" s="15">
        <f t="shared" si="14"/>
        <v>0</v>
      </c>
      <c r="G40" s="15">
        <f t="shared" si="15"/>
        <v>1013827.03</v>
      </c>
      <c r="H40" s="15">
        <f t="shared" si="16"/>
        <v>0</v>
      </c>
      <c r="I40" s="15"/>
      <c r="J40" s="15">
        <f>ROUND(790005.6,2)</f>
        <v>790005.6</v>
      </c>
      <c r="K40" s="15"/>
      <c r="L40" s="15">
        <f>ROUND(0,2)</f>
        <v>0</v>
      </c>
      <c r="M40" s="16">
        <v>85.99207162024057</v>
      </c>
      <c r="N40" s="16">
        <v>77.92311475459476</v>
      </c>
    </row>
    <row r="41" spans="1:14" ht="12.75" customHeight="1">
      <c r="A41" s="17" t="s">
        <v>43</v>
      </c>
      <c r="B41" s="17"/>
      <c r="C41" s="17"/>
      <c r="D41" s="11">
        <f>ROUND(1178977.33,2)</f>
        <v>1178977.33</v>
      </c>
      <c r="E41" s="11">
        <f>ROUND(1178977.33,2)</f>
        <v>1178977.33</v>
      </c>
      <c r="F41" s="11">
        <f t="shared" si="14"/>
        <v>0</v>
      </c>
      <c r="G41" s="11">
        <f t="shared" si="15"/>
        <v>1013827.03</v>
      </c>
      <c r="H41" s="12">
        <f t="shared" si="16"/>
        <v>0</v>
      </c>
      <c r="I41" s="12"/>
      <c r="J41" s="12">
        <f>ROUND(223821.43,2)</f>
        <v>223821.43</v>
      </c>
      <c r="K41" s="12"/>
      <c r="L41" s="11">
        <f>ROUND(790005.6,2)</f>
        <v>790005.6</v>
      </c>
      <c r="M41" s="11">
        <f>ROUND(790005.6,2)</f>
        <v>790005.6</v>
      </c>
      <c r="N41" s="11">
        <f>ROUND(165150.3,2)</f>
        <v>165150.3</v>
      </c>
    </row>
    <row r="42" spans="1:14" ht="12.75" customHeight="1">
      <c r="A42" s="18"/>
      <c r="B42" s="18"/>
      <c r="C42" s="18"/>
      <c r="D42" s="19"/>
      <c r="E42" s="11">
        <f>ROUND(0,2)</f>
        <v>0</v>
      </c>
      <c r="F42" s="11">
        <f t="shared" si="14"/>
        <v>0</v>
      </c>
      <c r="G42" s="11">
        <f t="shared" si="15"/>
        <v>1013827.03</v>
      </c>
      <c r="H42" s="12">
        <f t="shared" si="16"/>
        <v>0</v>
      </c>
      <c r="I42" s="12"/>
      <c r="J42" s="12">
        <f>ROUND(790005.6,2)</f>
        <v>790005.6</v>
      </c>
      <c r="K42" s="12"/>
      <c r="L42" s="11">
        <f>ROUND(0,2)</f>
        <v>0</v>
      </c>
      <c r="M42" s="20">
        <v>85.99207162024057</v>
      </c>
      <c r="N42" s="20">
        <v>77.92311475459476</v>
      </c>
    </row>
    <row r="43" spans="1:14" ht="18" customHeight="1">
      <c r="A43" s="18"/>
      <c r="B43" s="18"/>
      <c r="C43" s="18"/>
      <c r="D43" s="19"/>
      <c r="E43" s="19"/>
      <c r="F43" s="19"/>
      <c r="G43" s="19"/>
      <c r="H43" s="18"/>
      <c r="I43" s="18"/>
      <c r="J43" s="18"/>
      <c r="K43" s="18"/>
      <c r="L43" s="19"/>
      <c r="M43" s="19"/>
      <c r="N43" s="19"/>
    </row>
    <row r="44" spans="1:14" ht="12.75" customHeight="1">
      <c r="A44" s="10" t="s">
        <v>44</v>
      </c>
      <c r="B44" s="10"/>
      <c r="C44" s="10"/>
      <c r="D44" s="11">
        <f>ROUND(200,2)</f>
        <v>200</v>
      </c>
      <c r="E44" s="11">
        <f>ROUND(200,2)</f>
        <v>200</v>
      </c>
      <c r="F44" s="11">
        <f aca="true" t="shared" si="17" ref="F44:F47">ROUND(0,2)</f>
        <v>0</v>
      </c>
      <c r="G44" s="11">
        <f aca="true" t="shared" si="18" ref="G44:G47">ROUND(124.2,2)</f>
        <v>124.2</v>
      </c>
      <c r="H44" s="12">
        <f aca="true" t="shared" si="19" ref="H44:H47">ROUND(0,2)</f>
        <v>0</v>
      </c>
      <c r="I44" s="12"/>
      <c r="J44" s="12">
        <f>ROUND(0,2)</f>
        <v>0</v>
      </c>
      <c r="K44" s="12"/>
      <c r="L44" s="11">
        <f>ROUND(124.2,2)</f>
        <v>124.2</v>
      </c>
      <c r="M44" s="11">
        <f>ROUND(124.2,2)</f>
        <v>124.2</v>
      </c>
      <c r="N44" s="11">
        <f>ROUND(75.8,2)</f>
        <v>75.8</v>
      </c>
    </row>
    <row r="45" spans="1:14" ht="12.75" customHeight="1">
      <c r="A45" s="13" t="s">
        <v>45</v>
      </c>
      <c r="B45" s="13"/>
      <c r="C45" s="13"/>
      <c r="D45" s="14"/>
      <c r="E45" s="15">
        <f>ROUND(0,2)</f>
        <v>0</v>
      </c>
      <c r="F45" s="15">
        <f t="shared" si="17"/>
        <v>0</v>
      </c>
      <c r="G45" s="15">
        <f t="shared" si="18"/>
        <v>124.2</v>
      </c>
      <c r="H45" s="15">
        <f t="shared" si="19"/>
        <v>0</v>
      </c>
      <c r="I45" s="15"/>
      <c r="J45" s="15">
        <f>ROUND(124.2,2)</f>
        <v>124.2</v>
      </c>
      <c r="K45" s="15"/>
      <c r="L45" s="15">
        <f>ROUND(0,2)</f>
        <v>0</v>
      </c>
      <c r="M45" s="16">
        <v>62.1</v>
      </c>
      <c r="N45" s="16">
        <v>100</v>
      </c>
    </row>
    <row r="46" spans="1:14" ht="12.75" customHeight="1">
      <c r="A46" s="17" t="s">
        <v>46</v>
      </c>
      <c r="B46" s="17"/>
      <c r="C46" s="17"/>
      <c r="D46" s="11">
        <f>ROUND(200,2)</f>
        <v>200</v>
      </c>
      <c r="E46" s="11">
        <f>ROUND(200,2)</f>
        <v>200</v>
      </c>
      <c r="F46" s="11">
        <f t="shared" si="17"/>
        <v>0</v>
      </c>
      <c r="G46" s="11">
        <f t="shared" si="18"/>
        <v>124.2</v>
      </c>
      <c r="H46" s="12">
        <f t="shared" si="19"/>
        <v>0</v>
      </c>
      <c r="I46" s="12"/>
      <c r="J46" s="12">
        <f>ROUND(0,2)</f>
        <v>0</v>
      </c>
      <c r="K46" s="12"/>
      <c r="L46" s="11">
        <f>ROUND(124.2,2)</f>
        <v>124.2</v>
      </c>
      <c r="M46" s="11">
        <f>ROUND(124.2,2)</f>
        <v>124.2</v>
      </c>
      <c r="N46" s="11">
        <f>ROUND(75.8,2)</f>
        <v>75.8</v>
      </c>
    </row>
    <row r="47" spans="1:14" ht="12.75" customHeight="1">
      <c r="A47" s="18"/>
      <c r="B47" s="18"/>
      <c r="C47" s="18"/>
      <c r="D47" s="19"/>
      <c r="E47" s="11">
        <f>ROUND(0,2)</f>
        <v>0</v>
      </c>
      <c r="F47" s="11">
        <f t="shared" si="17"/>
        <v>0</v>
      </c>
      <c r="G47" s="11">
        <f t="shared" si="18"/>
        <v>124.2</v>
      </c>
      <c r="H47" s="12">
        <f t="shared" si="19"/>
        <v>0</v>
      </c>
      <c r="I47" s="12"/>
      <c r="J47" s="12">
        <f>ROUND(124.2,2)</f>
        <v>124.2</v>
      </c>
      <c r="K47" s="12"/>
      <c r="L47" s="11">
        <f>ROUND(0,2)</f>
        <v>0</v>
      </c>
      <c r="M47" s="20">
        <v>62.1</v>
      </c>
      <c r="N47" s="20">
        <v>100</v>
      </c>
    </row>
    <row r="48" spans="1:14" ht="18" customHeight="1">
      <c r="A48" s="18"/>
      <c r="B48" s="18"/>
      <c r="C48" s="18"/>
      <c r="D48" s="19"/>
      <c r="E48" s="19"/>
      <c r="F48" s="19"/>
      <c r="G48" s="19"/>
      <c r="H48" s="18"/>
      <c r="I48" s="18"/>
      <c r="J48" s="18"/>
      <c r="K48" s="18"/>
      <c r="L48" s="19"/>
      <c r="M48" s="19"/>
      <c r="N48" s="19"/>
    </row>
    <row r="49" spans="1:14" ht="12.75" customHeight="1">
      <c r="A49" s="10" t="s">
        <v>47</v>
      </c>
      <c r="B49" s="10"/>
      <c r="C49" s="10"/>
      <c r="D49" s="11">
        <f>ROUND(5000000,2)</f>
        <v>5000000</v>
      </c>
      <c r="E49" s="11">
        <f>ROUND(5000000,2)</f>
        <v>5000000</v>
      </c>
      <c r="F49" s="11">
        <f aca="true" t="shared" si="20" ref="F49:F54">ROUND(0,2)</f>
        <v>0</v>
      </c>
      <c r="G49" s="11">
        <f aca="true" t="shared" si="21" ref="G49:G50">ROUND(0,2)</f>
        <v>0</v>
      </c>
      <c r="H49" s="12">
        <f aca="true" t="shared" si="22" ref="H49:H54">ROUND(0,2)</f>
        <v>0</v>
      </c>
      <c r="I49" s="12"/>
      <c r="J49" s="12">
        <f aca="true" t="shared" si="23" ref="J49:J50">ROUND(0,2)</f>
        <v>0</v>
      </c>
      <c r="K49" s="12"/>
      <c r="L49" s="11">
        <f aca="true" t="shared" si="24" ref="L49:L50">ROUND(0,2)</f>
        <v>0</v>
      </c>
      <c r="M49" s="11">
        <f>ROUND(0,2)</f>
        <v>0</v>
      </c>
      <c r="N49" s="11">
        <f>ROUND(5000000,2)</f>
        <v>5000000</v>
      </c>
    </row>
    <row r="50" spans="1:14" ht="12.75" customHeight="1">
      <c r="A50" s="13" t="s">
        <v>48</v>
      </c>
      <c r="B50" s="13"/>
      <c r="C50" s="13"/>
      <c r="D50" s="14"/>
      <c r="E50" s="15">
        <f>ROUND(0,2)</f>
        <v>0</v>
      </c>
      <c r="F50" s="15">
        <f t="shared" si="20"/>
        <v>0</v>
      </c>
      <c r="G50" s="15">
        <f t="shared" si="21"/>
        <v>0</v>
      </c>
      <c r="H50" s="15">
        <f t="shared" si="22"/>
        <v>0</v>
      </c>
      <c r="I50" s="15"/>
      <c r="J50" s="15">
        <f t="shared" si="23"/>
        <v>0</v>
      </c>
      <c r="K50" s="15"/>
      <c r="L50" s="15">
        <f t="shared" si="24"/>
        <v>0</v>
      </c>
      <c r="M50" s="16">
        <v>0</v>
      </c>
      <c r="N50" s="16">
        <v>0</v>
      </c>
    </row>
    <row r="51" spans="1:14" ht="12.75" customHeight="1">
      <c r="A51" s="10" t="s">
        <v>49</v>
      </c>
      <c r="B51" s="10"/>
      <c r="C51" s="10"/>
      <c r="D51" s="11">
        <f>ROUND(30000,2)</f>
        <v>30000</v>
      </c>
      <c r="E51" s="11">
        <f>ROUND(30000,2)</f>
        <v>30000</v>
      </c>
      <c r="F51" s="11">
        <f t="shared" si="20"/>
        <v>0</v>
      </c>
      <c r="G51" s="11">
        <f>ROUND(23236.5,2)</f>
        <v>23236.5</v>
      </c>
      <c r="H51" s="12">
        <f t="shared" si="22"/>
        <v>0</v>
      </c>
      <c r="I51" s="12"/>
      <c r="J51" s="12">
        <f>ROUND(40.95,2)</f>
        <v>40.95</v>
      </c>
      <c r="K51" s="12"/>
      <c r="L51" s="11">
        <f>ROUND(23195.55,2)</f>
        <v>23195.55</v>
      </c>
      <c r="M51" s="11">
        <f>ROUND(23154.6,2)</f>
        <v>23154.6</v>
      </c>
      <c r="N51" s="11">
        <f>ROUND(6804.45,2)</f>
        <v>6804.45</v>
      </c>
    </row>
    <row r="52" spans="1:14" ht="12.75" customHeight="1">
      <c r="A52" s="13" t="s">
        <v>50</v>
      </c>
      <c r="B52" s="13"/>
      <c r="C52" s="13"/>
      <c r="D52" s="14"/>
      <c r="E52" s="15">
        <f>ROUND(0,2)</f>
        <v>0</v>
      </c>
      <c r="F52" s="15">
        <f t="shared" si="20"/>
        <v>0</v>
      </c>
      <c r="G52" s="15">
        <f>ROUND(23195.55,2)</f>
        <v>23195.55</v>
      </c>
      <c r="H52" s="15">
        <f t="shared" si="22"/>
        <v>0</v>
      </c>
      <c r="I52" s="15"/>
      <c r="J52" s="15">
        <f>ROUND(23195.55,2)</f>
        <v>23195.55</v>
      </c>
      <c r="K52" s="15"/>
      <c r="L52" s="15">
        <f>ROUND(40.95,2)</f>
        <v>40.95</v>
      </c>
      <c r="M52" s="16">
        <v>77.3185</v>
      </c>
      <c r="N52" s="16">
        <v>99.82345751663573</v>
      </c>
    </row>
    <row r="53" spans="1:14" ht="12.75" customHeight="1">
      <c r="A53" s="17" t="s">
        <v>51</v>
      </c>
      <c r="B53" s="17"/>
      <c r="C53" s="17"/>
      <c r="D53" s="11">
        <f>ROUND(5030000,2)</f>
        <v>5030000</v>
      </c>
      <c r="E53" s="11">
        <f>ROUND(5030000,2)</f>
        <v>5030000</v>
      </c>
      <c r="F53" s="11">
        <f t="shared" si="20"/>
        <v>0</v>
      </c>
      <c r="G53" s="11">
        <f>ROUND(23236.5,2)</f>
        <v>23236.5</v>
      </c>
      <c r="H53" s="12">
        <f t="shared" si="22"/>
        <v>0</v>
      </c>
      <c r="I53" s="12"/>
      <c r="J53" s="12">
        <f>ROUND(40.95,2)</f>
        <v>40.95</v>
      </c>
      <c r="K53" s="12"/>
      <c r="L53" s="11">
        <f>ROUND(23195.55,2)</f>
        <v>23195.55</v>
      </c>
      <c r="M53" s="11">
        <f>ROUND(23154.6,2)</f>
        <v>23154.6</v>
      </c>
      <c r="N53" s="11">
        <f>ROUND(5006804.45,2)</f>
        <v>5006804.45</v>
      </c>
    </row>
    <row r="54" spans="1:14" ht="12.75" customHeight="1">
      <c r="A54" s="18"/>
      <c r="B54" s="18"/>
      <c r="C54" s="18"/>
      <c r="D54" s="19"/>
      <c r="E54" s="11">
        <f>ROUND(0,2)</f>
        <v>0</v>
      </c>
      <c r="F54" s="11">
        <f t="shared" si="20"/>
        <v>0</v>
      </c>
      <c r="G54" s="11">
        <f>ROUND(23195.55,2)</f>
        <v>23195.55</v>
      </c>
      <c r="H54" s="12">
        <f t="shared" si="22"/>
        <v>0</v>
      </c>
      <c r="I54" s="12"/>
      <c r="J54" s="12">
        <f>ROUND(23195.55,2)</f>
        <v>23195.55</v>
      </c>
      <c r="K54" s="12"/>
      <c r="L54" s="11">
        <f>ROUND(40.95,2)</f>
        <v>40.95</v>
      </c>
      <c r="M54" s="20">
        <v>0.46114413518886677</v>
      </c>
      <c r="N54" s="20">
        <v>99.82345751663573</v>
      </c>
    </row>
    <row r="55" spans="1:14" ht="18" customHeight="1">
      <c r="A55" s="18"/>
      <c r="B55" s="18"/>
      <c r="C55" s="18"/>
      <c r="D55" s="19"/>
      <c r="E55" s="19"/>
      <c r="F55" s="19"/>
      <c r="G55" s="19"/>
      <c r="H55" s="18"/>
      <c r="I55" s="18"/>
      <c r="J55" s="18"/>
      <c r="K55" s="18"/>
      <c r="L55" s="19"/>
      <c r="M55" s="19"/>
      <c r="N55" s="19"/>
    </row>
    <row r="56" spans="1:14" ht="12.75" customHeight="1">
      <c r="A56" s="10" t="s">
        <v>52</v>
      </c>
      <c r="B56" s="10"/>
      <c r="C56" s="10"/>
      <c r="D56" s="11">
        <f>ROUND(450000,2)</f>
        <v>450000</v>
      </c>
      <c r="E56" s="11">
        <f>ROUND(450000,2)</f>
        <v>450000</v>
      </c>
      <c r="F56" s="11">
        <f aca="true" t="shared" si="25" ref="F56:F61">ROUND(0,2)</f>
        <v>0</v>
      </c>
      <c r="G56" s="11">
        <f>ROUND(6241.3,2)</f>
        <v>6241.3</v>
      </c>
      <c r="H56" s="12">
        <f aca="true" t="shared" si="26" ref="H56:H61">ROUND(0,2)</f>
        <v>0</v>
      </c>
      <c r="I56" s="12"/>
      <c r="J56" s="12">
        <f>ROUND(0,2)</f>
        <v>0</v>
      </c>
      <c r="K56" s="12"/>
      <c r="L56" s="11">
        <f>ROUND(6241.3,2)</f>
        <v>6241.3</v>
      </c>
      <c r="M56" s="11">
        <f>ROUND(6206.3,2)</f>
        <v>6206.3</v>
      </c>
      <c r="N56" s="11">
        <f>ROUND(443793.7,2)</f>
        <v>443793.7</v>
      </c>
    </row>
    <row r="57" spans="1:14" ht="12.75" customHeight="1">
      <c r="A57" s="13" t="s">
        <v>53</v>
      </c>
      <c r="B57" s="13"/>
      <c r="C57" s="13"/>
      <c r="D57" s="14"/>
      <c r="E57" s="15">
        <f>ROUND(0,2)</f>
        <v>0</v>
      </c>
      <c r="F57" s="15">
        <f t="shared" si="25"/>
        <v>0</v>
      </c>
      <c r="G57" s="15">
        <f>ROUND(6206.3,2)</f>
        <v>6206.3</v>
      </c>
      <c r="H57" s="15">
        <f t="shared" si="26"/>
        <v>0</v>
      </c>
      <c r="I57" s="15"/>
      <c r="J57" s="15">
        <f>ROUND(6241.3,2)</f>
        <v>6241.3</v>
      </c>
      <c r="K57" s="15"/>
      <c r="L57" s="15">
        <f aca="true" t="shared" si="27" ref="L57:L58">ROUND(35,2)</f>
        <v>35</v>
      </c>
      <c r="M57" s="16">
        <v>1.3791777777777778</v>
      </c>
      <c r="N57" s="16">
        <v>100</v>
      </c>
    </row>
    <row r="58" spans="1:14" ht="12.75" customHeight="1">
      <c r="A58" s="10" t="s">
        <v>54</v>
      </c>
      <c r="B58" s="10"/>
      <c r="C58" s="10"/>
      <c r="D58" s="11">
        <f>ROUND(15000,2)</f>
        <v>15000</v>
      </c>
      <c r="E58" s="11">
        <f>ROUND(15000,2)</f>
        <v>15000</v>
      </c>
      <c r="F58" s="11">
        <f t="shared" si="25"/>
        <v>0</v>
      </c>
      <c r="G58" s="11">
        <f aca="true" t="shared" si="28" ref="G58:G59">ROUND(35,2)</f>
        <v>35</v>
      </c>
      <c r="H58" s="12">
        <f t="shared" si="26"/>
        <v>0</v>
      </c>
      <c r="I58" s="12"/>
      <c r="J58" s="12">
        <f>ROUND(0,2)</f>
        <v>0</v>
      </c>
      <c r="K58" s="12"/>
      <c r="L58" s="11">
        <f t="shared" si="27"/>
        <v>35</v>
      </c>
      <c r="M58" s="11">
        <f>ROUND(35,2)</f>
        <v>35</v>
      </c>
      <c r="N58" s="11">
        <f>ROUND(14965,2)</f>
        <v>14965</v>
      </c>
    </row>
    <row r="59" spans="1:14" ht="12.75" customHeight="1">
      <c r="A59" s="13" t="s">
        <v>55</v>
      </c>
      <c r="B59" s="13"/>
      <c r="C59" s="13"/>
      <c r="D59" s="14"/>
      <c r="E59" s="15">
        <f>ROUND(0,2)</f>
        <v>0</v>
      </c>
      <c r="F59" s="15">
        <f t="shared" si="25"/>
        <v>0</v>
      </c>
      <c r="G59" s="15">
        <f t="shared" si="28"/>
        <v>35</v>
      </c>
      <c r="H59" s="15">
        <f t="shared" si="26"/>
        <v>0</v>
      </c>
      <c r="I59" s="15"/>
      <c r="J59" s="15">
        <f>ROUND(35,2)</f>
        <v>35</v>
      </c>
      <c r="K59" s="15"/>
      <c r="L59" s="15">
        <f>ROUND(0,2)</f>
        <v>0</v>
      </c>
      <c r="M59" s="16">
        <v>0.23333333333333336</v>
      </c>
      <c r="N59" s="16">
        <v>100</v>
      </c>
    </row>
    <row r="60" spans="1:14" ht="12.75" customHeight="1">
      <c r="A60" s="17" t="s">
        <v>56</v>
      </c>
      <c r="B60" s="17"/>
      <c r="C60" s="17"/>
      <c r="D60" s="11">
        <f>ROUND(465000,2)</f>
        <v>465000</v>
      </c>
      <c r="E60" s="11">
        <f>ROUND(465000,2)</f>
        <v>465000</v>
      </c>
      <c r="F60" s="11">
        <f t="shared" si="25"/>
        <v>0</v>
      </c>
      <c r="G60" s="11">
        <f>ROUND(6276.3,2)</f>
        <v>6276.3</v>
      </c>
      <c r="H60" s="12">
        <f t="shared" si="26"/>
        <v>0</v>
      </c>
      <c r="I60" s="12"/>
      <c r="J60" s="12">
        <f>ROUND(0,2)</f>
        <v>0</v>
      </c>
      <c r="K60" s="12"/>
      <c r="L60" s="11">
        <f>ROUND(6276.3,2)</f>
        <v>6276.3</v>
      </c>
      <c r="M60" s="11">
        <f>ROUND(6241.3,2)</f>
        <v>6241.3</v>
      </c>
      <c r="N60" s="11">
        <f>ROUND(458758.7,2)</f>
        <v>458758.7</v>
      </c>
    </row>
    <row r="61" spans="1:14" ht="12.75" customHeight="1">
      <c r="A61" s="18"/>
      <c r="B61" s="18"/>
      <c r="C61" s="18"/>
      <c r="D61" s="19"/>
      <c r="E61" s="11">
        <f>ROUND(0,2)</f>
        <v>0</v>
      </c>
      <c r="F61" s="11">
        <f t="shared" si="25"/>
        <v>0</v>
      </c>
      <c r="G61" s="11">
        <f>ROUND(6241.3,2)</f>
        <v>6241.3</v>
      </c>
      <c r="H61" s="12">
        <f t="shared" si="26"/>
        <v>0</v>
      </c>
      <c r="I61" s="12"/>
      <c r="J61" s="12">
        <f>ROUND(6276.3,2)</f>
        <v>6276.3</v>
      </c>
      <c r="K61" s="12"/>
      <c r="L61" s="11">
        <f>ROUND(35,2)</f>
        <v>35</v>
      </c>
      <c r="M61" s="20">
        <v>1.3422150537634407</v>
      </c>
      <c r="N61" s="20">
        <v>100</v>
      </c>
    </row>
    <row r="62" spans="1:14" ht="18" customHeight="1">
      <c r="A62" s="18"/>
      <c r="B62" s="18"/>
      <c r="C62" s="18"/>
      <c r="D62" s="19"/>
      <c r="E62" s="19"/>
      <c r="F62" s="19"/>
      <c r="G62" s="19"/>
      <c r="H62" s="18"/>
      <c r="I62" s="18"/>
      <c r="J62" s="18"/>
      <c r="K62" s="18"/>
      <c r="L62" s="19"/>
      <c r="M62" s="19"/>
      <c r="N62" s="19"/>
    </row>
    <row r="63" spans="1:14" ht="12.75" customHeight="1">
      <c r="A63" s="10" t="s">
        <v>57</v>
      </c>
      <c r="B63" s="10"/>
      <c r="C63" s="10"/>
      <c r="D63" s="11">
        <f>ROUND(1050000,2)</f>
        <v>1050000</v>
      </c>
      <c r="E63" s="11">
        <f>ROUND(1050000,2)</f>
        <v>1050000</v>
      </c>
      <c r="F63" s="11">
        <f aca="true" t="shared" si="29" ref="F63:F66">ROUND(0,2)</f>
        <v>0</v>
      </c>
      <c r="G63" s="11">
        <f>ROUND(1592400.87,2)</f>
        <v>1592400.87</v>
      </c>
      <c r="H63" s="12">
        <f aca="true" t="shared" si="30" ref="H63:H66">ROUND(0,2)</f>
        <v>0</v>
      </c>
      <c r="I63" s="12"/>
      <c r="J63" s="12">
        <f>ROUND(23844.3700000001,2)</f>
        <v>23844.37</v>
      </c>
      <c r="K63" s="12"/>
      <c r="L63" s="11">
        <f>ROUND(1568556.5,2)</f>
        <v>1568556.5</v>
      </c>
      <c r="M63" s="11">
        <f>ROUND(1563472,2)</f>
        <v>1563472</v>
      </c>
      <c r="N63" s="11">
        <f>ROUND(-537316.37,2)</f>
        <v>-537316.37</v>
      </c>
    </row>
    <row r="64" spans="1:14" ht="12.75" customHeight="1">
      <c r="A64" s="13" t="s">
        <v>58</v>
      </c>
      <c r="B64" s="13"/>
      <c r="C64" s="13"/>
      <c r="D64" s="14"/>
      <c r="E64" s="15">
        <f>ROUND(0,2)</f>
        <v>0</v>
      </c>
      <c r="F64" s="15">
        <f t="shared" si="29"/>
        <v>0</v>
      </c>
      <c r="G64" s="15">
        <f>ROUND(1587316.37,2)</f>
        <v>1587316.37</v>
      </c>
      <c r="H64" s="15">
        <f t="shared" si="30"/>
        <v>0</v>
      </c>
      <c r="I64" s="15"/>
      <c r="J64" s="15">
        <f>ROUND(1568556.5,2)</f>
        <v>1568556.5</v>
      </c>
      <c r="K64" s="15"/>
      <c r="L64" s="15">
        <f>ROUND(5084.5,2)</f>
        <v>5084.5</v>
      </c>
      <c r="M64" s="16">
        <v>151.17298761904763</v>
      </c>
      <c r="N64" s="16">
        <v>98.49781867996484</v>
      </c>
    </row>
    <row r="65" spans="1:14" ht="12.75" customHeight="1">
      <c r="A65" s="17" t="s">
        <v>59</v>
      </c>
      <c r="B65" s="17"/>
      <c r="C65" s="17"/>
      <c r="D65" s="11">
        <f>ROUND(1050000,2)</f>
        <v>1050000</v>
      </c>
      <c r="E65" s="11">
        <f>ROUND(1050000,2)</f>
        <v>1050000</v>
      </c>
      <c r="F65" s="11">
        <f t="shared" si="29"/>
        <v>0</v>
      </c>
      <c r="G65" s="11">
        <f>ROUND(1592400.87,2)</f>
        <v>1592400.87</v>
      </c>
      <c r="H65" s="12">
        <f t="shared" si="30"/>
        <v>0</v>
      </c>
      <c r="I65" s="12"/>
      <c r="J65" s="12">
        <f>ROUND(23844.3700000001,2)</f>
        <v>23844.37</v>
      </c>
      <c r="K65" s="12"/>
      <c r="L65" s="11">
        <f>ROUND(1568556.5,2)</f>
        <v>1568556.5</v>
      </c>
      <c r="M65" s="11">
        <f>ROUND(1563472,2)</f>
        <v>1563472</v>
      </c>
      <c r="N65" s="11">
        <f>ROUND(-537316.37,2)</f>
        <v>-537316.37</v>
      </c>
    </row>
    <row r="66" spans="1:14" ht="12.75" customHeight="1">
      <c r="A66" s="18"/>
      <c r="B66" s="18"/>
      <c r="C66" s="18"/>
      <c r="D66" s="19"/>
      <c r="E66" s="11">
        <f>ROUND(0,2)</f>
        <v>0</v>
      </c>
      <c r="F66" s="11">
        <f t="shared" si="29"/>
        <v>0</v>
      </c>
      <c r="G66" s="11">
        <f>ROUND(1587316.37,2)</f>
        <v>1587316.37</v>
      </c>
      <c r="H66" s="12">
        <f t="shared" si="30"/>
        <v>0</v>
      </c>
      <c r="I66" s="12"/>
      <c r="J66" s="12">
        <f>ROUND(1568556.5,2)</f>
        <v>1568556.5</v>
      </c>
      <c r="K66" s="12"/>
      <c r="L66" s="11">
        <f>ROUND(5084.5,2)</f>
        <v>5084.5</v>
      </c>
      <c r="M66" s="20">
        <v>151.17298761904763</v>
      </c>
      <c r="N66" s="20">
        <v>98.49781867996484</v>
      </c>
    </row>
    <row r="67" spans="1:14" ht="18" customHeight="1">
      <c r="A67" s="18"/>
      <c r="B67" s="18"/>
      <c r="C67" s="18"/>
      <c r="D67" s="19"/>
      <c r="E67" s="19"/>
      <c r="F67" s="19"/>
      <c r="G67" s="19"/>
      <c r="H67" s="18"/>
      <c r="I67" s="18"/>
      <c r="J67" s="18"/>
      <c r="K67" s="18"/>
      <c r="L67" s="19"/>
      <c r="M67" s="19"/>
      <c r="N67" s="19"/>
    </row>
    <row r="68" spans="1:14" ht="12.75" customHeight="1">
      <c r="A68" s="10" t="s">
        <v>60</v>
      </c>
      <c r="B68" s="10"/>
      <c r="C68" s="10"/>
      <c r="D68" s="11">
        <f>ROUND(50000,2)</f>
        <v>50000</v>
      </c>
      <c r="E68" s="11">
        <f>ROUND(50000,2)</f>
        <v>50000</v>
      </c>
      <c r="F68" s="11">
        <f aca="true" t="shared" si="31" ref="F68:F73">ROUND(0,2)</f>
        <v>0</v>
      </c>
      <c r="G68" s="11">
        <f>ROUND(62633.06,2)</f>
        <v>62633.06</v>
      </c>
      <c r="H68" s="12">
        <f>ROUND(766.25,2)</f>
        <v>766.25</v>
      </c>
      <c r="I68" s="12"/>
      <c r="J68" s="12">
        <f>ROUND(13597.25,2)</f>
        <v>13597.25</v>
      </c>
      <c r="K68" s="12"/>
      <c r="L68" s="11">
        <f>ROUND(48269.56,2)</f>
        <v>48269.56</v>
      </c>
      <c r="M68" s="11">
        <f>ROUND(48269.56,2)</f>
        <v>48269.56</v>
      </c>
      <c r="N68" s="11">
        <f>ROUND(-11866.81,2)</f>
        <v>-11866.81</v>
      </c>
    </row>
    <row r="69" spans="1:14" ht="12.75" customHeight="1">
      <c r="A69" s="13" t="s">
        <v>61</v>
      </c>
      <c r="B69" s="13"/>
      <c r="C69" s="13"/>
      <c r="D69" s="14"/>
      <c r="E69" s="15">
        <f>ROUND(0,2)</f>
        <v>0</v>
      </c>
      <c r="F69" s="15">
        <f t="shared" si="31"/>
        <v>0</v>
      </c>
      <c r="G69" s="15">
        <f>ROUND(61866.81,2)</f>
        <v>61866.81</v>
      </c>
      <c r="H69" s="15">
        <f aca="true" t="shared" si="32" ref="H69:H71">ROUND(0,2)</f>
        <v>0</v>
      </c>
      <c r="I69" s="15"/>
      <c r="J69" s="15">
        <f>ROUND(48269.56,2)</f>
        <v>48269.56</v>
      </c>
      <c r="K69" s="15"/>
      <c r="L69" s="15">
        <f>ROUND(0,2)</f>
        <v>0</v>
      </c>
      <c r="M69" s="16">
        <v>123.73361999999999</v>
      </c>
      <c r="N69" s="16">
        <v>78.02173734188008</v>
      </c>
    </row>
    <row r="70" spans="1:14" ht="12.75" customHeight="1">
      <c r="A70" s="10" t="s">
        <v>62</v>
      </c>
      <c r="B70" s="10"/>
      <c r="C70" s="10"/>
      <c r="D70" s="11">
        <f>ROUND(3000,2)</f>
        <v>3000</v>
      </c>
      <c r="E70" s="11">
        <f>ROUND(3000,2)</f>
        <v>3000</v>
      </c>
      <c r="F70" s="11">
        <f t="shared" si="31"/>
        <v>0</v>
      </c>
      <c r="G70" s="11">
        <f>ROUND(7846.38,2)</f>
        <v>7846.38</v>
      </c>
      <c r="H70" s="12">
        <f t="shared" si="32"/>
        <v>0</v>
      </c>
      <c r="I70" s="12"/>
      <c r="J70" s="12">
        <f>ROUND(-0.000000000000170530256582424,2)</f>
        <v>0</v>
      </c>
      <c r="K70" s="12"/>
      <c r="L70" s="11">
        <f>ROUND(7846.38,2)</f>
        <v>7846.38</v>
      </c>
      <c r="M70" s="11">
        <f>ROUND(7697.58,2)</f>
        <v>7697.58</v>
      </c>
      <c r="N70" s="11">
        <f>ROUND(-4697.58,2)</f>
        <v>-4697.58</v>
      </c>
    </row>
    <row r="71" spans="1:14" ht="12.75" customHeight="1">
      <c r="A71" s="13" t="s">
        <v>63</v>
      </c>
      <c r="B71" s="13"/>
      <c r="C71" s="13"/>
      <c r="D71" s="14"/>
      <c r="E71" s="15">
        <f>ROUND(0,2)</f>
        <v>0</v>
      </c>
      <c r="F71" s="15">
        <f t="shared" si="31"/>
        <v>0</v>
      </c>
      <c r="G71" s="15">
        <f>ROUND(7697.58,2)</f>
        <v>7697.58</v>
      </c>
      <c r="H71" s="15">
        <f t="shared" si="32"/>
        <v>0</v>
      </c>
      <c r="I71" s="15"/>
      <c r="J71" s="15">
        <f>ROUND(7846.38,2)</f>
        <v>7846.38</v>
      </c>
      <c r="K71" s="15"/>
      <c r="L71" s="15">
        <f>ROUND(148.8,2)</f>
        <v>148.8</v>
      </c>
      <c r="M71" s="16">
        <v>256.58599999999996</v>
      </c>
      <c r="N71" s="16">
        <v>100</v>
      </c>
    </row>
    <row r="72" spans="1:14" ht="12.75" customHeight="1">
      <c r="A72" s="17" t="s">
        <v>64</v>
      </c>
      <c r="B72" s="17"/>
      <c r="C72" s="17"/>
      <c r="D72" s="11">
        <f>ROUND(53000,2)</f>
        <v>53000</v>
      </c>
      <c r="E72" s="11">
        <f>ROUND(53000,2)</f>
        <v>53000</v>
      </c>
      <c r="F72" s="11">
        <f t="shared" si="31"/>
        <v>0</v>
      </c>
      <c r="G72" s="11">
        <f>ROUND(70479.44,2)</f>
        <v>70479.44</v>
      </c>
      <c r="H72" s="12">
        <f>ROUND(766.25,2)</f>
        <v>766.25</v>
      </c>
      <c r="I72" s="12"/>
      <c r="J72" s="12">
        <f>ROUND(13597.25,2)</f>
        <v>13597.25</v>
      </c>
      <c r="K72" s="12"/>
      <c r="L72" s="11">
        <f>ROUND(56115.94,2)</f>
        <v>56115.94</v>
      </c>
      <c r="M72" s="11">
        <f>ROUND(55967.14,2)</f>
        <v>55967.14</v>
      </c>
      <c r="N72" s="11">
        <f>ROUND(-16564.39,2)</f>
        <v>-16564.39</v>
      </c>
    </row>
    <row r="73" spans="1:14" ht="12.75" customHeight="1">
      <c r="A73" s="18"/>
      <c r="B73" s="18"/>
      <c r="C73" s="18"/>
      <c r="D73" s="19"/>
      <c r="E73" s="11">
        <f>ROUND(0,2)</f>
        <v>0</v>
      </c>
      <c r="F73" s="11">
        <f t="shared" si="31"/>
        <v>0</v>
      </c>
      <c r="G73" s="11">
        <f>ROUND(69564.39,2)</f>
        <v>69564.39</v>
      </c>
      <c r="H73" s="12">
        <f>ROUND(0,2)</f>
        <v>0</v>
      </c>
      <c r="I73" s="12"/>
      <c r="J73" s="12">
        <f>ROUND(56115.94,2)</f>
        <v>56115.94</v>
      </c>
      <c r="K73" s="12"/>
      <c r="L73" s="11">
        <f>ROUND(148.8,2)</f>
        <v>148.8</v>
      </c>
      <c r="M73" s="20">
        <v>131.25356603773585</v>
      </c>
      <c r="N73" s="20">
        <v>80.45372064643995</v>
      </c>
    </row>
    <row r="74" spans="1:14" ht="18" customHeight="1">
      <c r="A74" s="18"/>
      <c r="B74" s="18"/>
      <c r="C74" s="18"/>
      <c r="D74" s="19"/>
      <c r="E74" s="19"/>
      <c r="F74" s="19"/>
      <c r="G74" s="19"/>
      <c r="H74" s="18"/>
      <c r="I74" s="18"/>
      <c r="J74" s="18"/>
      <c r="K74" s="18"/>
      <c r="L74" s="19"/>
      <c r="M74" s="19"/>
      <c r="N74" s="19"/>
    </row>
    <row r="75" spans="1:14" ht="12.75" customHeight="1">
      <c r="A75" s="10" t="s">
        <v>65</v>
      </c>
      <c r="B75" s="10"/>
      <c r="C75" s="10"/>
      <c r="D75" s="11">
        <f>ROUND(45000,2)</f>
        <v>45000</v>
      </c>
      <c r="E75" s="11">
        <f>ROUND(45000,2)</f>
        <v>45000</v>
      </c>
      <c r="F75" s="11">
        <f aca="true" t="shared" si="33" ref="F75:F78">ROUND(0,2)</f>
        <v>0</v>
      </c>
      <c r="G75" s="11">
        <f>ROUND(49164.62,2)</f>
        <v>49164.62</v>
      </c>
      <c r="H75" s="12">
        <f aca="true" t="shared" si="34" ref="H75:H78">ROUND(0,2)</f>
        <v>0</v>
      </c>
      <c r="I75" s="12"/>
      <c r="J75" s="12">
        <f>ROUND(939.010000000004,2)</f>
        <v>939.01</v>
      </c>
      <c r="K75" s="12"/>
      <c r="L75" s="11">
        <f>ROUND(48225.61,2)</f>
        <v>48225.61</v>
      </c>
      <c r="M75" s="11">
        <f>ROUND(47887.55,2)</f>
        <v>47887.55</v>
      </c>
      <c r="N75" s="11">
        <f>ROUND(-3826.56,2)</f>
        <v>-3826.56</v>
      </c>
    </row>
    <row r="76" spans="1:14" ht="12.75" customHeight="1">
      <c r="A76" s="13" t="s">
        <v>66</v>
      </c>
      <c r="B76" s="13"/>
      <c r="C76" s="13"/>
      <c r="D76" s="14"/>
      <c r="E76" s="15">
        <f>ROUND(0,2)</f>
        <v>0</v>
      </c>
      <c r="F76" s="15">
        <f t="shared" si="33"/>
        <v>0</v>
      </c>
      <c r="G76" s="15">
        <f>ROUND(48826.56,2)</f>
        <v>48826.56</v>
      </c>
      <c r="H76" s="15">
        <f t="shared" si="34"/>
        <v>0</v>
      </c>
      <c r="I76" s="15"/>
      <c r="J76" s="15">
        <f>ROUND(48225.61,2)</f>
        <v>48225.61</v>
      </c>
      <c r="K76" s="15"/>
      <c r="L76" s="15">
        <f>ROUND(338.06,2)</f>
        <v>338.06</v>
      </c>
      <c r="M76" s="16">
        <v>108.50346666666668</v>
      </c>
      <c r="N76" s="16">
        <v>98.07684588060268</v>
      </c>
    </row>
    <row r="77" spans="1:14" ht="12.75" customHeight="1">
      <c r="A77" s="17" t="s">
        <v>67</v>
      </c>
      <c r="B77" s="17"/>
      <c r="C77" s="17"/>
      <c r="D77" s="11">
        <f>ROUND(45000,2)</f>
        <v>45000</v>
      </c>
      <c r="E77" s="11">
        <f>ROUND(45000,2)</f>
        <v>45000</v>
      </c>
      <c r="F77" s="11">
        <f t="shared" si="33"/>
        <v>0</v>
      </c>
      <c r="G77" s="11">
        <f>ROUND(49164.62,2)</f>
        <v>49164.62</v>
      </c>
      <c r="H77" s="12">
        <f t="shared" si="34"/>
        <v>0</v>
      </c>
      <c r="I77" s="12"/>
      <c r="J77" s="12">
        <f>ROUND(939.010000000004,2)</f>
        <v>939.01</v>
      </c>
      <c r="K77" s="12"/>
      <c r="L77" s="11">
        <f>ROUND(48225.61,2)</f>
        <v>48225.61</v>
      </c>
      <c r="M77" s="11">
        <f>ROUND(47887.55,2)</f>
        <v>47887.55</v>
      </c>
      <c r="N77" s="11">
        <f>ROUND(-3826.56,2)</f>
        <v>-3826.56</v>
      </c>
    </row>
    <row r="78" spans="1:14" ht="12.75" customHeight="1">
      <c r="A78" s="18"/>
      <c r="B78" s="18"/>
      <c r="C78" s="18"/>
      <c r="D78" s="19"/>
      <c r="E78" s="11">
        <f>ROUND(0,2)</f>
        <v>0</v>
      </c>
      <c r="F78" s="11">
        <f t="shared" si="33"/>
        <v>0</v>
      </c>
      <c r="G78" s="11">
        <f>ROUND(48826.56,2)</f>
        <v>48826.56</v>
      </c>
      <c r="H78" s="12">
        <f t="shared" si="34"/>
        <v>0</v>
      </c>
      <c r="I78" s="12"/>
      <c r="J78" s="12">
        <f>ROUND(48225.61,2)</f>
        <v>48225.61</v>
      </c>
      <c r="K78" s="12"/>
      <c r="L78" s="11">
        <f>ROUND(338.06,2)</f>
        <v>338.06</v>
      </c>
      <c r="M78" s="20">
        <v>108.50346666666668</v>
      </c>
      <c r="N78" s="20">
        <v>98.07684588060268</v>
      </c>
    </row>
    <row r="79" spans="1:14" ht="18" customHeight="1">
      <c r="A79" s="18"/>
      <c r="B79" s="18"/>
      <c r="C79" s="18"/>
      <c r="D79" s="19"/>
      <c r="E79" s="19"/>
      <c r="F79" s="19"/>
      <c r="G79" s="19"/>
      <c r="H79" s="18"/>
      <c r="I79" s="18"/>
      <c r="J79" s="18"/>
      <c r="K79" s="18"/>
      <c r="L79" s="19"/>
      <c r="M79" s="19"/>
      <c r="N79" s="19"/>
    </row>
    <row r="80" spans="1:14" ht="12.75" customHeight="1">
      <c r="A80" s="10" t="s">
        <v>68</v>
      </c>
      <c r="B80" s="10"/>
      <c r="C80" s="10"/>
      <c r="D80" s="11">
        <f>ROUND(300000,2)</f>
        <v>300000</v>
      </c>
      <c r="E80" s="11">
        <f>ROUND(300000,2)</f>
        <v>300000</v>
      </c>
      <c r="F80" s="11">
        <f aca="true" t="shared" si="35" ref="F80:F83">ROUND(0,2)</f>
        <v>0</v>
      </c>
      <c r="G80" s="11">
        <f>ROUND(82830.63,2)</f>
        <v>82830.63</v>
      </c>
      <c r="H80" s="12">
        <f aca="true" t="shared" si="36" ref="H80:H83">ROUND(0,2)</f>
        <v>0</v>
      </c>
      <c r="I80" s="12"/>
      <c r="J80" s="12">
        <f>ROUND(-0.00000000000466116034658626,2)</f>
        <v>0</v>
      </c>
      <c r="K80" s="12"/>
      <c r="L80" s="11">
        <f>ROUND(82830.63,2)</f>
        <v>82830.63</v>
      </c>
      <c r="M80" s="11">
        <f>ROUND(82323.5,2)</f>
        <v>82323.5</v>
      </c>
      <c r="N80" s="11">
        <f>ROUND(217676.5,2)</f>
        <v>217676.5</v>
      </c>
    </row>
    <row r="81" spans="1:14" ht="12.75" customHeight="1">
      <c r="A81" s="13" t="s">
        <v>69</v>
      </c>
      <c r="B81" s="13"/>
      <c r="C81" s="13"/>
      <c r="D81" s="14"/>
      <c r="E81" s="15">
        <f>ROUND(0,2)</f>
        <v>0</v>
      </c>
      <c r="F81" s="15">
        <f t="shared" si="35"/>
        <v>0</v>
      </c>
      <c r="G81" s="15">
        <f>ROUND(82323.5,2)</f>
        <v>82323.5</v>
      </c>
      <c r="H81" s="15">
        <f t="shared" si="36"/>
        <v>0</v>
      </c>
      <c r="I81" s="15"/>
      <c r="J81" s="15">
        <f>ROUND(82830.63,2)</f>
        <v>82830.63</v>
      </c>
      <c r="K81" s="15"/>
      <c r="L81" s="15">
        <f>ROUND(507.13,2)</f>
        <v>507.13</v>
      </c>
      <c r="M81" s="16">
        <v>27.441166666666668</v>
      </c>
      <c r="N81" s="16">
        <v>100</v>
      </c>
    </row>
    <row r="82" spans="1:14" ht="12.75" customHeight="1">
      <c r="A82" s="17" t="s">
        <v>70</v>
      </c>
      <c r="B82" s="17"/>
      <c r="C82" s="17"/>
      <c r="D82" s="11">
        <f>ROUND(300000,2)</f>
        <v>300000</v>
      </c>
      <c r="E82" s="11">
        <f>ROUND(300000,2)</f>
        <v>300000</v>
      </c>
      <c r="F82" s="11">
        <f t="shared" si="35"/>
        <v>0</v>
      </c>
      <c r="G82" s="11">
        <f>ROUND(82830.63,2)</f>
        <v>82830.63</v>
      </c>
      <c r="H82" s="12">
        <f t="shared" si="36"/>
        <v>0</v>
      </c>
      <c r="I82" s="12"/>
      <c r="J82" s="12">
        <f>ROUND(-0.00000000000466116034658626,2)</f>
        <v>0</v>
      </c>
      <c r="K82" s="12"/>
      <c r="L82" s="11">
        <f>ROUND(82830.63,2)</f>
        <v>82830.63</v>
      </c>
      <c r="M82" s="11">
        <f>ROUND(82323.5,2)</f>
        <v>82323.5</v>
      </c>
      <c r="N82" s="11">
        <f>ROUND(217676.5,2)</f>
        <v>217676.5</v>
      </c>
    </row>
    <row r="83" spans="1:14" ht="12.75" customHeight="1">
      <c r="A83" s="18"/>
      <c r="B83" s="18"/>
      <c r="C83" s="18"/>
      <c r="D83" s="19"/>
      <c r="E83" s="11">
        <f>ROUND(0,2)</f>
        <v>0</v>
      </c>
      <c r="F83" s="11">
        <f t="shared" si="35"/>
        <v>0</v>
      </c>
      <c r="G83" s="11">
        <f>ROUND(82323.5,2)</f>
        <v>82323.5</v>
      </c>
      <c r="H83" s="12">
        <f t="shared" si="36"/>
        <v>0</v>
      </c>
      <c r="I83" s="12"/>
      <c r="J83" s="12">
        <f>ROUND(82830.63,2)</f>
        <v>82830.63</v>
      </c>
      <c r="K83" s="12"/>
      <c r="L83" s="11">
        <f>ROUND(507.13,2)</f>
        <v>507.13</v>
      </c>
      <c r="M83" s="20">
        <v>27.441166666666668</v>
      </c>
      <c r="N83" s="20">
        <v>100</v>
      </c>
    </row>
    <row r="84" spans="1:14" ht="18" customHeight="1">
      <c r="A84" s="18"/>
      <c r="B84" s="18"/>
      <c r="C84" s="18"/>
      <c r="D84" s="19"/>
      <c r="E84" s="19"/>
      <c r="F84" s="19"/>
      <c r="G84" s="19"/>
      <c r="H84" s="18"/>
      <c r="I84" s="18"/>
      <c r="J84" s="18"/>
      <c r="K84" s="18"/>
      <c r="L84" s="19"/>
      <c r="M84" s="19"/>
      <c r="N84" s="19"/>
    </row>
    <row r="85" spans="1:14" ht="12.75" customHeight="1">
      <c r="A85" s="10" t="s">
        <v>71</v>
      </c>
      <c r="B85" s="10"/>
      <c r="C85" s="10"/>
      <c r="D85" s="11">
        <f>ROUND(100,2)</f>
        <v>100</v>
      </c>
      <c r="E85" s="11">
        <f>ROUND(100,2)</f>
        <v>100</v>
      </c>
      <c r="F85" s="11">
        <f aca="true" t="shared" si="37" ref="F85:F88">ROUND(0,2)</f>
        <v>0</v>
      </c>
      <c r="G85" s="11">
        <f aca="true" t="shared" si="38" ref="G85:G88">ROUND(0,2)</f>
        <v>0</v>
      </c>
      <c r="H85" s="12">
        <f aca="true" t="shared" si="39" ref="H85:H88">ROUND(0,2)</f>
        <v>0</v>
      </c>
      <c r="I85" s="12"/>
      <c r="J85" s="12">
        <f aca="true" t="shared" si="40" ref="J85:J88">ROUND(0,2)</f>
        <v>0</v>
      </c>
      <c r="K85" s="12"/>
      <c r="L85" s="11">
        <f aca="true" t="shared" si="41" ref="L85:L88">ROUND(0,2)</f>
        <v>0</v>
      </c>
      <c r="M85" s="11">
        <f>ROUND(0,2)</f>
        <v>0</v>
      </c>
      <c r="N85" s="11">
        <f>ROUND(100,2)</f>
        <v>100</v>
      </c>
    </row>
    <row r="86" spans="1:14" ht="12.75" customHeight="1">
      <c r="A86" s="13" t="s">
        <v>72</v>
      </c>
      <c r="B86" s="13"/>
      <c r="C86" s="13"/>
      <c r="D86" s="14"/>
      <c r="E86" s="15">
        <f>ROUND(0,2)</f>
        <v>0</v>
      </c>
      <c r="F86" s="15">
        <f t="shared" si="37"/>
        <v>0</v>
      </c>
      <c r="G86" s="15">
        <f t="shared" si="38"/>
        <v>0</v>
      </c>
      <c r="H86" s="15">
        <f t="shared" si="39"/>
        <v>0</v>
      </c>
      <c r="I86" s="15"/>
      <c r="J86" s="15">
        <f t="shared" si="40"/>
        <v>0</v>
      </c>
      <c r="K86" s="15"/>
      <c r="L86" s="15">
        <f t="shared" si="41"/>
        <v>0</v>
      </c>
      <c r="M86" s="16">
        <v>0</v>
      </c>
      <c r="N86" s="16">
        <v>0</v>
      </c>
    </row>
    <row r="87" spans="1:14" ht="12.75" customHeight="1">
      <c r="A87" s="17" t="s">
        <v>73</v>
      </c>
      <c r="B87" s="17"/>
      <c r="C87" s="17"/>
      <c r="D87" s="11">
        <f>ROUND(100,2)</f>
        <v>100</v>
      </c>
      <c r="E87" s="11">
        <f>ROUND(100,2)</f>
        <v>100</v>
      </c>
      <c r="F87" s="11">
        <f t="shared" si="37"/>
        <v>0</v>
      </c>
      <c r="G87" s="11">
        <f t="shared" si="38"/>
        <v>0</v>
      </c>
      <c r="H87" s="12">
        <f t="shared" si="39"/>
        <v>0</v>
      </c>
      <c r="I87" s="12"/>
      <c r="J87" s="12">
        <f t="shared" si="40"/>
        <v>0</v>
      </c>
      <c r="K87" s="12"/>
      <c r="L87" s="11">
        <f t="shared" si="41"/>
        <v>0</v>
      </c>
      <c r="M87" s="11">
        <f>ROUND(0,2)</f>
        <v>0</v>
      </c>
      <c r="N87" s="11">
        <f>ROUND(100,2)</f>
        <v>100</v>
      </c>
    </row>
    <row r="88" spans="1:14" ht="12.75" customHeight="1">
      <c r="A88" s="18"/>
      <c r="B88" s="18"/>
      <c r="C88" s="18"/>
      <c r="D88" s="19"/>
      <c r="E88" s="11">
        <f>ROUND(0,2)</f>
        <v>0</v>
      </c>
      <c r="F88" s="11">
        <f t="shared" si="37"/>
        <v>0</v>
      </c>
      <c r="G88" s="11">
        <f t="shared" si="38"/>
        <v>0</v>
      </c>
      <c r="H88" s="12">
        <f t="shared" si="39"/>
        <v>0</v>
      </c>
      <c r="I88" s="12"/>
      <c r="J88" s="12">
        <f t="shared" si="40"/>
        <v>0</v>
      </c>
      <c r="K88" s="12"/>
      <c r="L88" s="11">
        <f t="shared" si="41"/>
        <v>0</v>
      </c>
      <c r="M88" s="20">
        <v>0</v>
      </c>
      <c r="N88" s="20">
        <v>0</v>
      </c>
    </row>
    <row r="89" spans="1:14" ht="18" customHeight="1">
      <c r="A89" s="18"/>
      <c r="B89" s="18"/>
      <c r="C89" s="18"/>
      <c r="D89" s="19"/>
      <c r="E89" s="19"/>
      <c r="F89" s="19"/>
      <c r="G89" s="19"/>
      <c r="H89" s="18"/>
      <c r="I89" s="18"/>
      <c r="J89" s="18"/>
      <c r="K89" s="18"/>
      <c r="L89" s="19"/>
      <c r="M89" s="19"/>
      <c r="N89" s="19"/>
    </row>
    <row r="90" spans="1:14" ht="12.75" customHeight="1">
      <c r="A90" s="10" t="s">
        <v>74</v>
      </c>
      <c r="B90" s="10"/>
      <c r="C90" s="10"/>
      <c r="D90" s="11">
        <f>ROUND(100,2)</f>
        <v>100</v>
      </c>
      <c r="E90" s="11">
        <f>ROUND(100,2)</f>
        <v>100</v>
      </c>
      <c r="F90" s="11">
        <f aca="true" t="shared" si="42" ref="F90:F93">ROUND(0,2)</f>
        <v>0</v>
      </c>
      <c r="G90" s="11">
        <f aca="true" t="shared" si="43" ref="G90:G93">ROUND(79.4,2)</f>
        <v>79.4</v>
      </c>
      <c r="H90" s="12">
        <f aca="true" t="shared" si="44" ref="H90:H93">ROUND(0,2)</f>
        <v>0</v>
      </c>
      <c r="I90" s="12"/>
      <c r="J90" s="12">
        <f>ROUND(0,2)</f>
        <v>0</v>
      </c>
      <c r="K90" s="12"/>
      <c r="L90" s="11">
        <f>ROUND(79.4,2)</f>
        <v>79.4</v>
      </c>
      <c r="M90" s="11">
        <f>ROUND(79.4,2)</f>
        <v>79.4</v>
      </c>
      <c r="N90" s="11">
        <f>ROUND(20.6,2)</f>
        <v>20.6</v>
      </c>
    </row>
    <row r="91" spans="1:14" ht="12.75" customHeight="1">
      <c r="A91" s="13" t="s">
        <v>75</v>
      </c>
      <c r="B91" s="13"/>
      <c r="C91" s="13"/>
      <c r="D91" s="14"/>
      <c r="E91" s="15">
        <f>ROUND(0,2)</f>
        <v>0</v>
      </c>
      <c r="F91" s="15">
        <f t="shared" si="42"/>
        <v>0</v>
      </c>
      <c r="G91" s="15">
        <f t="shared" si="43"/>
        <v>79.4</v>
      </c>
      <c r="H91" s="15">
        <f t="shared" si="44"/>
        <v>0</v>
      </c>
      <c r="I91" s="15"/>
      <c r="J91" s="15">
        <f>ROUND(79.4,2)</f>
        <v>79.4</v>
      </c>
      <c r="K91" s="15"/>
      <c r="L91" s="15">
        <f>ROUND(0,2)</f>
        <v>0</v>
      </c>
      <c r="M91" s="16">
        <v>79.4</v>
      </c>
      <c r="N91" s="16">
        <v>100</v>
      </c>
    </row>
    <row r="92" spans="1:14" ht="12.75" customHeight="1">
      <c r="A92" s="17" t="s">
        <v>76</v>
      </c>
      <c r="B92" s="17"/>
      <c r="C92" s="17"/>
      <c r="D92" s="11">
        <f>ROUND(100,2)</f>
        <v>100</v>
      </c>
      <c r="E92" s="11">
        <f>ROUND(100,2)</f>
        <v>100</v>
      </c>
      <c r="F92" s="11">
        <f t="shared" si="42"/>
        <v>0</v>
      </c>
      <c r="G92" s="11">
        <f t="shared" si="43"/>
        <v>79.4</v>
      </c>
      <c r="H92" s="12">
        <f t="shared" si="44"/>
        <v>0</v>
      </c>
      <c r="I92" s="12"/>
      <c r="J92" s="12">
        <f>ROUND(0,2)</f>
        <v>0</v>
      </c>
      <c r="K92" s="12"/>
      <c r="L92" s="11">
        <f>ROUND(79.4,2)</f>
        <v>79.4</v>
      </c>
      <c r="M92" s="11">
        <f>ROUND(79.4,2)</f>
        <v>79.4</v>
      </c>
      <c r="N92" s="11">
        <f>ROUND(20.6,2)</f>
        <v>20.6</v>
      </c>
    </row>
    <row r="93" spans="1:14" ht="12.75" customHeight="1">
      <c r="A93" s="18"/>
      <c r="B93" s="18"/>
      <c r="C93" s="18"/>
      <c r="D93" s="19"/>
      <c r="E93" s="11">
        <f>ROUND(0,2)</f>
        <v>0</v>
      </c>
      <c r="F93" s="11">
        <f t="shared" si="42"/>
        <v>0</v>
      </c>
      <c r="G93" s="11">
        <f t="shared" si="43"/>
        <v>79.4</v>
      </c>
      <c r="H93" s="12">
        <f t="shared" si="44"/>
        <v>0</v>
      </c>
      <c r="I93" s="12"/>
      <c r="J93" s="12">
        <f>ROUND(79.4,2)</f>
        <v>79.4</v>
      </c>
      <c r="K93" s="12"/>
      <c r="L93" s="11">
        <f>ROUND(0,2)</f>
        <v>0</v>
      </c>
      <c r="M93" s="20">
        <v>79.4</v>
      </c>
      <c r="N93" s="20">
        <v>100</v>
      </c>
    </row>
    <row r="94" spans="1:14" ht="18" customHeight="1">
      <c r="A94" s="18"/>
      <c r="B94" s="18"/>
      <c r="C94" s="18"/>
      <c r="D94" s="19"/>
      <c r="E94" s="19"/>
      <c r="F94" s="19"/>
      <c r="G94" s="19"/>
      <c r="H94" s="18"/>
      <c r="I94" s="18"/>
      <c r="J94" s="18"/>
      <c r="K94" s="18"/>
      <c r="L94" s="19"/>
      <c r="M94" s="19"/>
      <c r="N94" s="19"/>
    </row>
    <row r="95" spans="1:14" ht="12.75" customHeight="1">
      <c r="A95" s="10" t="s">
        <v>77</v>
      </c>
      <c r="B95" s="10"/>
      <c r="C95" s="10"/>
      <c r="D95" s="11">
        <f>ROUND(30000,2)</f>
        <v>30000</v>
      </c>
      <c r="E95" s="11">
        <f>ROUND(30000,2)</f>
        <v>30000</v>
      </c>
      <c r="F95" s="11">
        <f aca="true" t="shared" si="45" ref="F95:F98">ROUND(0,2)</f>
        <v>0</v>
      </c>
      <c r="G95" s="11">
        <f>ROUND(52859.59,2)</f>
        <v>52859.59</v>
      </c>
      <c r="H95" s="12">
        <f aca="true" t="shared" si="46" ref="H95:H98">ROUND(0,2)</f>
        <v>0</v>
      </c>
      <c r="I95" s="12"/>
      <c r="J95" s="12">
        <f>ROUND(1224.5,2)</f>
        <v>1224.5</v>
      </c>
      <c r="K95" s="12"/>
      <c r="L95" s="11">
        <f>ROUND(51635.09,2)</f>
        <v>51635.09</v>
      </c>
      <c r="M95" s="11">
        <f>ROUND(51462.09,2)</f>
        <v>51462.09</v>
      </c>
      <c r="N95" s="11">
        <f>ROUND(-22686.59,2)</f>
        <v>-22686.59</v>
      </c>
    </row>
    <row r="96" spans="1:14" ht="12.75" customHeight="1">
      <c r="A96" s="13" t="s">
        <v>78</v>
      </c>
      <c r="B96" s="13"/>
      <c r="C96" s="13"/>
      <c r="D96" s="14"/>
      <c r="E96" s="15">
        <f>ROUND(0,2)</f>
        <v>0</v>
      </c>
      <c r="F96" s="15">
        <f t="shared" si="45"/>
        <v>0</v>
      </c>
      <c r="G96" s="15">
        <f>ROUND(52686.59,2)</f>
        <v>52686.59</v>
      </c>
      <c r="H96" s="15">
        <f t="shared" si="46"/>
        <v>0</v>
      </c>
      <c r="I96" s="15"/>
      <c r="J96" s="15">
        <f>ROUND(51635.09,2)</f>
        <v>51635.09</v>
      </c>
      <c r="K96" s="15"/>
      <c r="L96" s="15">
        <f>ROUND(173,2)</f>
        <v>173</v>
      </c>
      <c r="M96" s="16">
        <v>175.62196666666665</v>
      </c>
      <c r="N96" s="16">
        <v>97.67587919430731</v>
      </c>
    </row>
    <row r="97" spans="1:14" ht="12.75" customHeight="1">
      <c r="A97" s="17" t="s">
        <v>79</v>
      </c>
      <c r="B97" s="17"/>
      <c r="C97" s="17"/>
      <c r="D97" s="11">
        <f>ROUND(30000,2)</f>
        <v>30000</v>
      </c>
      <c r="E97" s="11">
        <f>ROUND(30000,2)</f>
        <v>30000</v>
      </c>
      <c r="F97" s="11">
        <f t="shared" si="45"/>
        <v>0</v>
      </c>
      <c r="G97" s="11">
        <f>ROUND(52859.59,2)</f>
        <v>52859.59</v>
      </c>
      <c r="H97" s="12">
        <f t="shared" si="46"/>
        <v>0</v>
      </c>
      <c r="I97" s="12"/>
      <c r="J97" s="12">
        <f>ROUND(1224.5,2)</f>
        <v>1224.5</v>
      </c>
      <c r="K97" s="12"/>
      <c r="L97" s="11">
        <f>ROUND(51635.09,2)</f>
        <v>51635.09</v>
      </c>
      <c r="M97" s="11">
        <f>ROUND(51462.09,2)</f>
        <v>51462.09</v>
      </c>
      <c r="N97" s="11">
        <f>ROUND(-22686.59,2)</f>
        <v>-22686.59</v>
      </c>
    </row>
    <row r="98" spans="1:14" ht="12.75" customHeight="1">
      <c r="A98" s="18"/>
      <c r="B98" s="18"/>
      <c r="C98" s="18"/>
      <c r="D98" s="19"/>
      <c r="E98" s="11">
        <f>ROUND(0,2)</f>
        <v>0</v>
      </c>
      <c r="F98" s="11">
        <f t="shared" si="45"/>
        <v>0</v>
      </c>
      <c r="G98" s="11">
        <f>ROUND(52686.59,2)</f>
        <v>52686.59</v>
      </c>
      <c r="H98" s="12">
        <f t="shared" si="46"/>
        <v>0</v>
      </c>
      <c r="I98" s="12"/>
      <c r="J98" s="12">
        <f>ROUND(51635.09,2)</f>
        <v>51635.09</v>
      </c>
      <c r="K98" s="12"/>
      <c r="L98" s="11">
        <f>ROUND(173,2)</f>
        <v>173</v>
      </c>
      <c r="M98" s="20">
        <v>175.62196666666665</v>
      </c>
      <c r="N98" s="20">
        <v>97.67587919430731</v>
      </c>
    </row>
    <row r="99" spans="1:14" ht="18" customHeight="1">
      <c r="A99" s="18"/>
      <c r="B99" s="18"/>
      <c r="C99" s="18"/>
      <c r="D99" s="19"/>
      <c r="E99" s="19"/>
      <c r="F99" s="19"/>
      <c r="G99" s="19"/>
      <c r="H99" s="18"/>
      <c r="I99" s="18"/>
      <c r="J99" s="18"/>
      <c r="K99" s="18"/>
      <c r="L99" s="19"/>
      <c r="M99" s="19"/>
      <c r="N99" s="19"/>
    </row>
    <row r="100" spans="1:14" ht="12.75" customHeight="1">
      <c r="A100" s="10" t="s">
        <v>80</v>
      </c>
      <c r="B100" s="10"/>
      <c r="C100" s="10"/>
      <c r="D100" s="11">
        <f>ROUND(3000,2)</f>
        <v>3000</v>
      </c>
      <c r="E100" s="11">
        <f>ROUND(3000,2)</f>
        <v>3000</v>
      </c>
      <c r="F100" s="11">
        <f aca="true" t="shared" si="47" ref="F100:F105">ROUND(0,2)</f>
        <v>0</v>
      </c>
      <c r="G100" s="11">
        <f aca="true" t="shared" si="48" ref="G100:G101">ROUND(7695.31,2)</f>
        <v>7695.31</v>
      </c>
      <c r="H100" s="12">
        <f aca="true" t="shared" si="49" ref="H100:H105">ROUND(0,2)</f>
        <v>0</v>
      </c>
      <c r="I100" s="12"/>
      <c r="J100" s="12">
        <f>ROUND(73.3200000000006,2)</f>
        <v>73.32</v>
      </c>
      <c r="K100" s="12"/>
      <c r="L100" s="11">
        <f>ROUND(7621.99,2)</f>
        <v>7621.99</v>
      </c>
      <c r="M100" s="11">
        <f>ROUND(7621.99,2)</f>
        <v>7621.99</v>
      </c>
      <c r="N100" s="11">
        <f>ROUND(-4695.31,2)</f>
        <v>-4695.31</v>
      </c>
    </row>
    <row r="101" spans="1:14" ht="12.75" customHeight="1">
      <c r="A101" s="13" t="s">
        <v>81</v>
      </c>
      <c r="B101" s="13"/>
      <c r="C101" s="13"/>
      <c r="D101" s="14"/>
      <c r="E101" s="15">
        <f>ROUND(0,2)</f>
        <v>0</v>
      </c>
      <c r="F101" s="15">
        <f t="shared" si="47"/>
        <v>0</v>
      </c>
      <c r="G101" s="15">
        <f t="shared" si="48"/>
        <v>7695.31</v>
      </c>
      <c r="H101" s="15">
        <f t="shared" si="49"/>
        <v>0</v>
      </c>
      <c r="I101" s="15"/>
      <c r="J101" s="15">
        <f>ROUND(7621.99,2)</f>
        <v>7621.99</v>
      </c>
      <c r="K101" s="15"/>
      <c r="L101" s="15">
        <f>ROUND(0,2)</f>
        <v>0</v>
      </c>
      <c r="M101" s="16">
        <v>256.51033333333334</v>
      </c>
      <c r="N101" s="16">
        <v>99.04721187320588</v>
      </c>
    </row>
    <row r="102" spans="1:14" ht="12.75" customHeight="1">
      <c r="A102" s="10" t="s">
        <v>82</v>
      </c>
      <c r="B102" s="10"/>
      <c r="C102" s="10"/>
      <c r="D102" s="11">
        <f>ROUND(35000,2)</f>
        <v>35000</v>
      </c>
      <c r="E102" s="11">
        <f>ROUND(35000,2)</f>
        <v>35000</v>
      </c>
      <c r="F102" s="11">
        <f t="shared" si="47"/>
        <v>0</v>
      </c>
      <c r="G102" s="11">
        <f>ROUND(52174.02,2)</f>
        <v>52174.02</v>
      </c>
      <c r="H102" s="12">
        <f t="shared" si="49"/>
        <v>0</v>
      </c>
      <c r="I102" s="12"/>
      <c r="J102" s="12">
        <f>ROUND(3720.35999999999,2)</f>
        <v>3720.36</v>
      </c>
      <c r="K102" s="12"/>
      <c r="L102" s="11">
        <f>ROUND(48453.66,2)</f>
        <v>48453.66</v>
      </c>
      <c r="M102" s="11">
        <f>ROUND(48145.34,2)</f>
        <v>48145.34</v>
      </c>
      <c r="N102" s="11">
        <f>ROUND(-16865.7,2)</f>
        <v>-16865.7</v>
      </c>
    </row>
    <row r="103" spans="1:14" ht="12.75" customHeight="1">
      <c r="A103" s="13" t="s">
        <v>83</v>
      </c>
      <c r="B103" s="13"/>
      <c r="C103" s="13"/>
      <c r="D103" s="14"/>
      <c r="E103" s="15">
        <f>ROUND(0,2)</f>
        <v>0</v>
      </c>
      <c r="F103" s="15">
        <f t="shared" si="47"/>
        <v>0</v>
      </c>
      <c r="G103" s="15">
        <f>ROUND(51865.7,2)</f>
        <v>51865.7</v>
      </c>
      <c r="H103" s="15">
        <f t="shared" si="49"/>
        <v>0</v>
      </c>
      <c r="I103" s="15"/>
      <c r="J103" s="15">
        <f>ROUND(48453.66,2)</f>
        <v>48453.66</v>
      </c>
      <c r="K103" s="15"/>
      <c r="L103" s="15">
        <f>ROUND(308.32,2)</f>
        <v>308.32</v>
      </c>
      <c r="M103" s="16">
        <v>148.18771428571426</v>
      </c>
      <c r="N103" s="16">
        <v>92.82693572052436</v>
      </c>
    </row>
    <row r="104" spans="1:14" ht="12.75" customHeight="1">
      <c r="A104" s="17" t="s">
        <v>84</v>
      </c>
      <c r="B104" s="17"/>
      <c r="C104" s="17"/>
      <c r="D104" s="11">
        <f>ROUND(38000,2)</f>
        <v>38000</v>
      </c>
      <c r="E104" s="11">
        <f>ROUND(38000,2)</f>
        <v>38000</v>
      </c>
      <c r="F104" s="11">
        <f t="shared" si="47"/>
        <v>0</v>
      </c>
      <c r="G104" s="11">
        <f>ROUND(59869.33,2)</f>
        <v>59869.33</v>
      </c>
      <c r="H104" s="12">
        <f t="shared" si="49"/>
        <v>0</v>
      </c>
      <c r="I104" s="12"/>
      <c r="J104" s="12">
        <f>ROUND(3793.67999999999,2)</f>
        <v>3793.68</v>
      </c>
      <c r="K104" s="12"/>
      <c r="L104" s="11">
        <f>ROUND(56075.65,2)</f>
        <v>56075.65</v>
      </c>
      <c r="M104" s="11">
        <f>ROUND(55767.33,2)</f>
        <v>55767.33</v>
      </c>
      <c r="N104" s="11">
        <f>ROUND(-21561.01,2)</f>
        <v>-21561.01</v>
      </c>
    </row>
    <row r="105" spans="1:14" ht="12.75" customHeight="1">
      <c r="A105" s="18"/>
      <c r="B105" s="18"/>
      <c r="C105" s="18"/>
      <c r="D105" s="19"/>
      <c r="E105" s="11">
        <f>ROUND(0,2)</f>
        <v>0</v>
      </c>
      <c r="F105" s="11">
        <f t="shared" si="47"/>
        <v>0</v>
      </c>
      <c r="G105" s="11">
        <f>ROUND(59561.01,2)</f>
        <v>59561.01</v>
      </c>
      <c r="H105" s="12">
        <f t="shared" si="49"/>
        <v>0</v>
      </c>
      <c r="I105" s="12"/>
      <c r="J105" s="12">
        <f>ROUND(56075.65,2)</f>
        <v>56075.65</v>
      </c>
      <c r="K105" s="12"/>
      <c r="L105" s="11">
        <f>ROUND(308.32,2)</f>
        <v>308.32</v>
      </c>
      <c r="M105" s="20">
        <v>156.73950000000002</v>
      </c>
      <c r="N105" s="20">
        <v>93.63059827225898</v>
      </c>
    </row>
    <row r="106" spans="1:14" ht="18" customHeight="1">
      <c r="A106" s="18"/>
      <c r="B106" s="18"/>
      <c r="C106" s="18"/>
      <c r="D106" s="19"/>
      <c r="E106" s="19"/>
      <c r="F106" s="19"/>
      <c r="G106" s="19"/>
      <c r="H106" s="18"/>
      <c r="I106" s="18"/>
      <c r="J106" s="18"/>
      <c r="K106" s="18"/>
      <c r="L106" s="19"/>
      <c r="M106" s="19"/>
      <c r="N106" s="19"/>
    </row>
    <row r="107" spans="1:14" ht="12.75" customHeight="1">
      <c r="A107" s="10" t="s">
        <v>85</v>
      </c>
      <c r="B107" s="10"/>
      <c r="C107" s="10"/>
      <c r="D107" s="11">
        <f>ROUND(25000,2)</f>
        <v>25000</v>
      </c>
      <c r="E107" s="11">
        <f>ROUND(25000,2)</f>
        <v>25000</v>
      </c>
      <c r="F107" s="11">
        <f aca="true" t="shared" si="50" ref="F107:F110">ROUND(0,2)</f>
        <v>0</v>
      </c>
      <c r="G107" s="11">
        <f>ROUND(178368.21,2)</f>
        <v>178368.21</v>
      </c>
      <c r="H107" s="12">
        <f aca="true" t="shared" si="51" ref="H107:H110">ROUND(0,2)</f>
        <v>0</v>
      </c>
      <c r="I107" s="12"/>
      <c r="J107" s="12">
        <f>ROUND(2955.94999999998,2)</f>
        <v>2955.95</v>
      </c>
      <c r="K107" s="12"/>
      <c r="L107" s="11">
        <f>ROUND(175412.26,2)</f>
        <v>175412.26</v>
      </c>
      <c r="M107" s="11">
        <f>ROUND(175348.94,2)</f>
        <v>175348.94</v>
      </c>
      <c r="N107" s="11">
        <f>ROUND(-153304.89,2)</f>
        <v>-153304.89</v>
      </c>
    </row>
    <row r="108" spans="1:14" ht="12.75" customHeight="1">
      <c r="A108" s="13" t="s">
        <v>86</v>
      </c>
      <c r="B108" s="13"/>
      <c r="C108" s="13"/>
      <c r="D108" s="14"/>
      <c r="E108" s="15">
        <f>ROUND(0,2)</f>
        <v>0</v>
      </c>
      <c r="F108" s="15">
        <f t="shared" si="50"/>
        <v>0</v>
      </c>
      <c r="G108" s="15">
        <f>ROUND(178304.89,2)</f>
        <v>178304.89</v>
      </c>
      <c r="H108" s="15">
        <f t="shared" si="51"/>
        <v>0</v>
      </c>
      <c r="I108" s="15"/>
      <c r="J108" s="15">
        <f>ROUND(175412.26,2)</f>
        <v>175412.26</v>
      </c>
      <c r="K108" s="15"/>
      <c r="L108" s="15">
        <f>ROUND(63.32,2)</f>
        <v>63.32</v>
      </c>
      <c r="M108" s="16">
        <v>713.2195599999999</v>
      </c>
      <c r="N108" s="16">
        <v>98.34219353154027</v>
      </c>
    </row>
    <row r="109" spans="1:14" ht="12.75" customHeight="1">
      <c r="A109" s="17" t="s">
        <v>87</v>
      </c>
      <c r="B109" s="17"/>
      <c r="C109" s="17"/>
      <c r="D109" s="11">
        <f>ROUND(25000,2)</f>
        <v>25000</v>
      </c>
      <c r="E109" s="11">
        <f>ROUND(25000,2)</f>
        <v>25000</v>
      </c>
      <c r="F109" s="11">
        <f t="shared" si="50"/>
        <v>0</v>
      </c>
      <c r="G109" s="11">
        <f>ROUND(178368.21,2)</f>
        <v>178368.21</v>
      </c>
      <c r="H109" s="12">
        <f t="shared" si="51"/>
        <v>0</v>
      </c>
      <c r="I109" s="12"/>
      <c r="J109" s="12">
        <f>ROUND(2955.94999999998,2)</f>
        <v>2955.95</v>
      </c>
      <c r="K109" s="12"/>
      <c r="L109" s="11">
        <f>ROUND(175412.26,2)</f>
        <v>175412.26</v>
      </c>
      <c r="M109" s="11">
        <f>ROUND(175348.94,2)</f>
        <v>175348.94</v>
      </c>
      <c r="N109" s="11">
        <f>ROUND(-153304.89,2)</f>
        <v>-153304.89</v>
      </c>
    </row>
    <row r="110" spans="1:14" ht="12.75" customHeight="1">
      <c r="A110" s="18"/>
      <c r="B110" s="18"/>
      <c r="C110" s="18"/>
      <c r="D110" s="19"/>
      <c r="E110" s="11">
        <f>ROUND(0,2)</f>
        <v>0</v>
      </c>
      <c r="F110" s="11">
        <f t="shared" si="50"/>
        <v>0</v>
      </c>
      <c r="G110" s="11">
        <f>ROUND(178304.89,2)</f>
        <v>178304.89</v>
      </c>
      <c r="H110" s="12">
        <f t="shared" si="51"/>
        <v>0</v>
      </c>
      <c r="I110" s="12"/>
      <c r="J110" s="12">
        <f>ROUND(175412.26,2)</f>
        <v>175412.26</v>
      </c>
      <c r="K110" s="12"/>
      <c r="L110" s="11">
        <f>ROUND(63.32,2)</f>
        <v>63.32</v>
      </c>
      <c r="M110" s="20">
        <v>713.2195599999999</v>
      </c>
      <c r="N110" s="20">
        <v>98.34219353154027</v>
      </c>
    </row>
    <row r="111" spans="1:14" ht="18" customHeight="1">
      <c r="A111" s="18"/>
      <c r="B111" s="18"/>
      <c r="C111" s="18"/>
      <c r="D111" s="19"/>
      <c r="E111" s="19"/>
      <c r="F111" s="19"/>
      <c r="G111" s="19"/>
      <c r="H111" s="18"/>
      <c r="I111" s="18"/>
      <c r="J111" s="18"/>
      <c r="K111" s="18"/>
      <c r="L111" s="19"/>
      <c r="M111" s="19"/>
      <c r="N111" s="19"/>
    </row>
    <row r="112" spans="1:14" ht="12.75" customHeight="1">
      <c r="A112" s="10" t="s">
        <v>88</v>
      </c>
      <c r="B112" s="10"/>
      <c r="C112" s="10"/>
      <c r="D112" s="11">
        <f>ROUND(20000,2)</f>
        <v>20000</v>
      </c>
      <c r="E112" s="11">
        <f>ROUND(20000,2)</f>
        <v>20000</v>
      </c>
      <c r="F112" s="11">
        <f aca="true" t="shared" si="52" ref="F112:F119">ROUND(0,2)</f>
        <v>0</v>
      </c>
      <c r="G112" s="11">
        <f>ROUND(27577.99,2)</f>
        <v>27577.99</v>
      </c>
      <c r="H112" s="12">
        <f aca="true" t="shared" si="53" ref="H112:H119">ROUND(0,2)</f>
        <v>0</v>
      </c>
      <c r="I112" s="12"/>
      <c r="J112" s="12">
        <f>ROUND(111.43,2)</f>
        <v>111.43</v>
      </c>
      <c r="K112" s="12"/>
      <c r="L112" s="11">
        <f>ROUND(27466.56,2)</f>
        <v>27466.56</v>
      </c>
      <c r="M112" s="11">
        <f>ROUND(26596.56,2)</f>
        <v>26596.56</v>
      </c>
      <c r="N112" s="11">
        <f>ROUND(-6707.99,2)</f>
        <v>-6707.99</v>
      </c>
    </row>
    <row r="113" spans="1:14" ht="12.75" customHeight="1">
      <c r="A113" s="13" t="s">
        <v>89</v>
      </c>
      <c r="B113" s="13"/>
      <c r="C113" s="13"/>
      <c r="D113" s="14"/>
      <c r="E113" s="15">
        <f>ROUND(0,2)</f>
        <v>0</v>
      </c>
      <c r="F113" s="15">
        <f t="shared" si="52"/>
        <v>0</v>
      </c>
      <c r="G113" s="15">
        <f>ROUND(26707.99,2)</f>
        <v>26707.99</v>
      </c>
      <c r="H113" s="15">
        <f t="shared" si="53"/>
        <v>0</v>
      </c>
      <c r="I113" s="15"/>
      <c r="J113" s="15">
        <f>ROUND(27466.56,2)</f>
        <v>27466.56</v>
      </c>
      <c r="K113" s="15"/>
      <c r="L113" s="15">
        <f>ROUND(870,2)</f>
        <v>870</v>
      </c>
      <c r="M113" s="16">
        <v>133.53995</v>
      </c>
      <c r="N113" s="16">
        <v>99.58278402830014</v>
      </c>
    </row>
    <row r="114" spans="1:14" ht="12.75" customHeight="1">
      <c r="A114" s="10" t="s">
        <v>90</v>
      </c>
      <c r="B114" s="10"/>
      <c r="C114" s="10"/>
      <c r="D114" s="11">
        <f>ROUND(10000,2)</f>
        <v>10000</v>
      </c>
      <c r="E114" s="11">
        <f>ROUND(10000,2)</f>
        <v>10000</v>
      </c>
      <c r="F114" s="11">
        <f t="shared" si="52"/>
        <v>0</v>
      </c>
      <c r="G114" s="11">
        <f aca="true" t="shared" si="54" ref="G114:G115">ROUND(0,2)</f>
        <v>0</v>
      </c>
      <c r="H114" s="12">
        <f t="shared" si="53"/>
        <v>0</v>
      </c>
      <c r="I114" s="12"/>
      <c r="J114" s="12">
        <f aca="true" t="shared" si="55" ref="J114:J116">ROUND(0,2)</f>
        <v>0</v>
      </c>
      <c r="K114" s="12"/>
      <c r="L114" s="11">
        <f aca="true" t="shared" si="56" ref="L114:L115">ROUND(0,2)</f>
        <v>0</v>
      </c>
      <c r="M114" s="11">
        <f>ROUND(0,2)</f>
        <v>0</v>
      </c>
      <c r="N114" s="11">
        <f>ROUND(10000,2)</f>
        <v>10000</v>
      </c>
    </row>
    <row r="115" spans="1:14" ht="12.75" customHeight="1">
      <c r="A115" s="13" t="s">
        <v>91</v>
      </c>
      <c r="B115" s="13"/>
      <c r="C115" s="13"/>
      <c r="D115" s="14"/>
      <c r="E115" s="15">
        <f>ROUND(0,2)</f>
        <v>0</v>
      </c>
      <c r="F115" s="15">
        <f t="shared" si="52"/>
        <v>0</v>
      </c>
      <c r="G115" s="15">
        <f t="shared" si="54"/>
        <v>0</v>
      </c>
      <c r="H115" s="15">
        <f t="shared" si="53"/>
        <v>0</v>
      </c>
      <c r="I115" s="15"/>
      <c r="J115" s="15">
        <f t="shared" si="55"/>
        <v>0</v>
      </c>
      <c r="K115" s="15"/>
      <c r="L115" s="15">
        <f t="shared" si="56"/>
        <v>0</v>
      </c>
      <c r="M115" s="16">
        <v>0</v>
      </c>
      <c r="N115" s="16">
        <v>0</v>
      </c>
    </row>
    <row r="116" spans="1:14" ht="12.75" customHeight="1">
      <c r="A116" s="10" t="s">
        <v>92</v>
      </c>
      <c r="B116" s="10"/>
      <c r="C116" s="10"/>
      <c r="D116" s="11">
        <f>ROUND(300,2)</f>
        <v>300</v>
      </c>
      <c r="E116" s="11">
        <f>ROUND(300,2)</f>
        <v>300</v>
      </c>
      <c r="F116" s="11">
        <f t="shared" si="52"/>
        <v>0</v>
      </c>
      <c r="G116" s="11">
        <f aca="true" t="shared" si="57" ref="G116:G117">ROUND(300,2)</f>
        <v>300</v>
      </c>
      <c r="H116" s="12">
        <f t="shared" si="53"/>
        <v>0</v>
      </c>
      <c r="I116" s="12"/>
      <c r="J116" s="12">
        <f t="shared" si="55"/>
        <v>0</v>
      </c>
      <c r="K116" s="12"/>
      <c r="L116" s="11">
        <f>ROUND(300,2)</f>
        <v>300</v>
      </c>
      <c r="M116" s="11">
        <f>ROUND(300,2)</f>
        <v>300</v>
      </c>
      <c r="N116" s="11">
        <f>ROUND(0,2)</f>
        <v>0</v>
      </c>
    </row>
    <row r="117" spans="1:14" ht="12.75" customHeight="1">
      <c r="A117" s="13" t="s">
        <v>93</v>
      </c>
      <c r="B117" s="13"/>
      <c r="C117" s="13"/>
      <c r="D117" s="14"/>
      <c r="E117" s="15">
        <f>ROUND(0,2)</f>
        <v>0</v>
      </c>
      <c r="F117" s="15">
        <f t="shared" si="52"/>
        <v>0</v>
      </c>
      <c r="G117" s="15">
        <f t="shared" si="57"/>
        <v>300</v>
      </c>
      <c r="H117" s="15">
        <f t="shared" si="53"/>
        <v>0</v>
      </c>
      <c r="I117" s="15"/>
      <c r="J117" s="15">
        <f>ROUND(300,2)</f>
        <v>300</v>
      </c>
      <c r="K117" s="15"/>
      <c r="L117" s="15">
        <f>ROUND(0,2)</f>
        <v>0</v>
      </c>
      <c r="M117" s="16">
        <v>100</v>
      </c>
      <c r="N117" s="16">
        <v>100</v>
      </c>
    </row>
    <row r="118" spans="1:14" ht="12.75" customHeight="1">
      <c r="A118" s="17" t="s">
        <v>94</v>
      </c>
      <c r="B118" s="17"/>
      <c r="C118" s="17"/>
      <c r="D118" s="11">
        <f>ROUND(30300,2)</f>
        <v>30300</v>
      </c>
      <c r="E118" s="11">
        <f>ROUND(30300,2)</f>
        <v>30300</v>
      </c>
      <c r="F118" s="11">
        <f t="shared" si="52"/>
        <v>0</v>
      </c>
      <c r="G118" s="11">
        <f>ROUND(27877.99,2)</f>
        <v>27877.99</v>
      </c>
      <c r="H118" s="12">
        <f t="shared" si="53"/>
        <v>0</v>
      </c>
      <c r="I118" s="12"/>
      <c r="J118" s="12">
        <f>ROUND(111.43,2)</f>
        <v>111.43</v>
      </c>
      <c r="K118" s="12"/>
      <c r="L118" s="11">
        <f>ROUND(27766.56,2)</f>
        <v>27766.56</v>
      </c>
      <c r="M118" s="11">
        <f>ROUND(26896.56,2)</f>
        <v>26896.56</v>
      </c>
      <c r="N118" s="11">
        <f>ROUND(3292.01,2)</f>
        <v>3292.01</v>
      </c>
    </row>
    <row r="119" spans="1:14" ht="12.75" customHeight="1">
      <c r="A119" s="18"/>
      <c r="B119" s="18"/>
      <c r="C119" s="18"/>
      <c r="D119" s="19"/>
      <c r="E119" s="11">
        <f>ROUND(0,2)</f>
        <v>0</v>
      </c>
      <c r="F119" s="11">
        <f t="shared" si="52"/>
        <v>0</v>
      </c>
      <c r="G119" s="11">
        <f>ROUND(27007.99,2)</f>
        <v>27007.99</v>
      </c>
      <c r="H119" s="12">
        <f t="shared" si="53"/>
        <v>0</v>
      </c>
      <c r="I119" s="12"/>
      <c r="J119" s="12">
        <f>ROUND(27766.56,2)</f>
        <v>27766.56</v>
      </c>
      <c r="K119" s="12"/>
      <c r="L119" s="11">
        <f>ROUND(870,2)</f>
        <v>870</v>
      </c>
      <c r="M119" s="20">
        <v>89.1352805280528</v>
      </c>
      <c r="N119" s="20">
        <v>99.5874183898913</v>
      </c>
    </row>
    <row r="120" spans="1:14" ht="18" customHeight="1">
      <c r="A120" s="18"/>
      <c r="B120" s="18"/>
      <c r="C120" s="18"/>
      <c r="D120" s="19"/>
      <c r="E120" s="19"/>
      <c r="F120" s="19"/>
      <c r="G120" s="19"/>
      <c r="H120" s="18"/>
      <c r="I120" s="18"/>
      <c r="J120" s="18"/>
      <c r="K120" s="18"/>
      <c r="L120" s="19"/>
      <c r="M120" s="19"/>
      <c r="N120" s="19"/>
    </row>
    <row r="121" spans="1:14" ht="12.75" customHeight="1">
      <c r="A121" s="10" t="s">
        <v>95</v>
      </c>
      <c r="B121" s="10"/>
      <c r="C121" s="10"/>
      <c r="D121" s="11">
        <f>ROUND(500,2)</f>
        <v>500</v>
      </c>
      <c r="E121" s="11">
        <f>ROUND(500,2)</f>
        <v>500</v>
      </c>
      <c r="F121" s="11">
        <f aca="true" t="shared" si="58" ref="F121:F126">ROUND(0,2)</f>
        <v>0</v>
      </c>
      <c r="G121" s="11">
        <f aca="true" t="shared" si="59" ref="G121:G122">ROUND(34635.56,2)</f>
        <v>34635.56</v>
      </c>
      <c r="H121" s="12">
        <f aca="true" t="shared" si="60" ref="H121:H126">ROUND(0,2)</f>
        <v>0</v>
      </c>
      <c r="I121" s="12"/>
      <c r="J121" s="12">
        <f>ROUND(14787.48,2)</f>
        <v>14787.48</v>
      </c>
      <c r="K121" s="12"/>
      <c r="L121" s="11">
        <f>ROUND(19848.08,2)</f>
        <v>19848.08</v>
      </c>
      <c r="M121" s="11">
        <f>ROUND(19848.08,2)</f>
        <v>19848.08</v>
      </c>
      <c r="N121" s="11">
        <f>ROUND(-34135.56,2)</f>
        <v>-34135.56</v>
      </c>
    </row>
    <row r="122" spans="1:14" ht="12.75" customHeight="1">
      <c r="A122" s="13" t="s">
        <v>96</v>
      </c>
      <c r="B122" s="13"/>
      <c r="C122" s="13"/>
      <c r="D122" s="14"/>
      <c r="E122" s="15">
        <f>ROUND(0,2)</f>
        <v>0</v>
      </c>
      <c r="F122" s="15">
        <f t="shared" si="58"/>
        <v>0</v>
      </c>
      <c r="G122" s="15">
        <f t="shared" si="59"/>
        <v>34635.56</v>
      </c>
      <c r="H122" s="15">
        <f t="shared" si="60"/>
        <v>0</v>
      </c>
      <c r="I122" s="15"/>
      <c r="J122" s="15">
        <f>ROUND(19848.08,2)</f>
        <v>19848.08</v>
      </c>
      <c r="K122" s="15"/>
      <c r="L122" s="15">
        <f>ROUND(0,2)</f>
        <v>0</v>
      </c>
      <c r="M122" s="16">
        <v>6927.111999999999</v>
      </c>
      <c r="N122" s="16">
        <v>57.30549758687316</v>
      </c>
    </row>
    <row r="123" spans="1:14" ht="12.75" customHeight="1">
      <c r="A123" s="10" t="s">
        <v>97</v>
      </c>
      <c r="B123" s="10"/>
      <c r="C123" s="10"/>
      <c r="D123" s="11">
        <f>ROUND(375000,2)</f>
        <v>375000</v>
      </c>
      <c r="E123" s="11">
        <f>ROUND(375000,2)</f>
        <v>375000</v>
      </c>
      <c r="F123" s="11">
        <f t="shared" si="58"/>
        <v>0</v>
      </c>
      <c r="G123" s="11">
        <f aca="true" t="shared" si="61" ref="G123:G124">ROUND(337461.02,2)</f>
        <v>337461.02</v>
      </c>
      <c r="H123" s="12">
        <f t="shared" si="60"/>
        <v>0</v>
      </c>
      <c r="I123" s="12"/>
      <c r="J123" s="12">
        <f>ROUND(16782.31,2)</f>
        <v>16782.31</v>
      </c>
      <c r="K123" s="12"/>
      <c r="L123" s="11">
        <f>ROUND(320678.71,2)</f>
        <v>320678.71</v>
      </c>
      <c r="M123" s="11">
        <f>ROUND(320678.71,2)</f>
        <v>320678.71</v>
      </c>
      <c r="N123" s="11">
        <f>ROUND(37538.98,2)</f>
        <v>37538.98</v>
      </c>
    </row>
    <row r="124" spans="1:14" ht="12.75" customHeight="1">
      <c r="A124" s="13" t="s">
        <v>98</v>
      </c>
      <c r="B124" s="13"/>
      <c r="C124" s="13"/>
      <c r="D124" s="14"/>
      <c r="E124" s="15">
        <f>ROUND(0,2)</f>
        <v>0</v>
      </c>
      <c r="F124" s="15">
        <f t="shared" si="58"/>
        <v>0</v>
      </c>
      <c r="G124" s="15">
        <f t="shared" si="61"/>
        <v>337461.02</v>
      </c>
      <c r="H124" s="15">
        <f t="shared" si="60"/>
        <v>0</v>
      </c>
      <c r="I124" s="15"/>
      <c r="J124" s="15">
        <f>ROUND(320678.71,2)</f>
        <v>320678.71</v>
      </c>
      <c r="K124" s="15"/>
      <c r="L124" s="15">
        <f>ROUND(0,2)</f>
        <v>0</v>
      </c>
      <c r="M124" s="16">
        <v>89.98960533333333</v>
      </c>
      <c r="N124" s="16">
        <v>95.02688932784</v>
      </c>
    </row>
    <row r="125" spans="1:14" ht="12.75" customHeight="1">
      <c r="A125" s="17" t="s">
        <v>99</v>
      </c>
      <c r="B125" s="17"/>
      <c r="C125" s="17"/>
      <c r="D125" s="11">
        <f>ROUND(375500,2)</f>
        <v>375500</v>
      </c>
      <c r="E125" s="11">
        <f>ROUND(375500,2)</f>
        <v>375500</v>
      </c>
      <c r="F125" s="11">
        <f t="shared" si="58"/>
        <v>0</v>
      </c>
      <c r="G125" s="11">
        <f aca="true" t="shared" si="62" ref="G125:G126">ROUND(372096.58,2)</f>
        <v>372096.58</v>
      </c>
      <c r="H125" s="12">
        <f t="shared" si="60"/>
        <v>0</v>
      </c>
      <c r="I125" s="12"/>
      <c r="J125" s="12">
        <f>ROUND(31569.79,2)</f>
        <v>31569.79</v>
      </c>
      <c r="K125" s="12"/>
      <c r="L125" s="11">
        <f>ROUND(340526.79,2)</f>
        <v>340526.79</v>
      </c>
      <c r="M125" s="11">
        <f>ROUND(340526.79,2)</f>
        <v>340526.79</v>
      </c>
      <c r="N125" s="11">
        <f>ROUND(3403.41999999998,2)</f>
        <v>3403.42</v>
      </c>
    </row>
    <row r="126" spans="1:14" ht="12.75" customHeight="1">
      <c r="A126" s="18"/>
      <c r="B126" s="18"/>
      <c r="C126" s="18"/>
      <c r="D126" s="19"/>
      <c r="E126" s="11">
        <f>ROUND(0,2)</f>
        <v>0</v>
      </c>
      <c r="F126" s="11">
        <f t="shared" si="58"/>
        <v>0</v>
      </c>
      <c r="G126" s="11">
        <f t="shared" si="62"/>
        <v>372096.58</v>
      </c>
      <c r="H126" s="12">
        <f t="shared" si="60"/>
        <v>0</v>
      </c>
      <c r="I126" s="12"/>
      <c r="J126" s="12">
        <f>ROUND(340526.79,2)</f>
        <v>340526.79</v>
      </c>
      <c r="K126" s="12"/>
      <c r="L126" s="11">
        <f>ROUND(0,2)</f>
        <v>0</v>
      </c>
      <c r="M126" s="20">
        <v>99.09362982689748</v>
      </c>
      <c r="N126" s="20">
        <v>91.51570003680226</v>
      </c>
    </row>
    <row r="127" spans="1:14" ht="18" customHeight="1">
      <c r="A127" s="18"/>
      <c r="B127" s="18"/>
      <c r="C127" s="18"/>
      <c r="D127" s="19"/>
      <c r="E127" s="19"/>
      <c r="F127" s="19"/>
      <c r="G127" s="19"/>
      <c r="H127" s="18"/>
      <c r="I127" s="18"/>
      <c r="J127" s="18"/>
      <c r="K127" s="18"/>
      <c r="L127" s="19"/>
      <c r="M127" s="19"/>
      <c r="N127" s="19"/>
    </row>
    <row r="128" spans="1:14" ht="12.75" customHeight="1">
      <c r="A128" s="10" t="s">
        <v>100</v>
      </c>
      <c r="B128" s="10"/>
      <c r="C128" s="10"/>
      <c r="D128" s="11">
        <f>ROUND(175000,2)</f>
        <v>175000</v>
      </c>
      <c r="E128" s="11">
        <f>ROUND(175000,2)</f>
        <v>175000</v>
      </c>
      <c r="F128" s="11">
        <f aca="true" t="shared" si="63" ref="F128:F131">ROUND(0,2)</f>
        <v>0</v>
      </c>
      <c r="G128" s="11">
        <f aca="true" t="shared" si="64" ref="G128:G131">ROUND(152684.82,2)</f>
        <v>152684.82</v>
      </c>
      <c r="H128" s="12">
        <f aca="true" t="shared" si="65" ref="H128:H131">ROUND(0,2)</f>
        <v>0</v>
      </c>
      <c r="I128" s="12"/>
      <c r="J128" s="12">
        <f>ROUND(0,2)</f>
        <v>0</v>
      </c>
      <c r="K128" s="12"/>
      <c r="L128" s="11">
        <f>ROUND(152684.82,2)</f>
        <v>152684.82</v>
      </c>
      <c r="M128" s="11">
        <f>ROUND(152684.82,2)</f>
        <v>152684.82</v>
      </c>
      <c r="N128" s="11">
        <f>ROUND(22315.18,2)</f>
        <v>22315.18</v>
      </c>
    </row>
    <row r="129" spans="1:14" ht="12.75" customHeight="1">
      <c r="A129" s="13" t="s">
        <v>101</v>
      </c>
      <c r="B129" s="13"/>
      <c r="C129" s="13"/>
      <c r="D129" s="14"/>
      <c r="E129" s="15">
        <f>ROUND(0,2)</f>
        <v>0</v>
      </c>
      <c r="F129" s="15">
        <f t="shared" si="63"/>
        <v>0</v>
      </c>
      <c r="G129" s="15">
        <f t="shared" si="64"/>
        <v>152684.82</v>
      </c>
      <c r="H129" s="15">
        <f t="shared" si="65"/>
        <v>0</v>
      </c>
      <c r="I129" s="15"/>
      <c r="J129" s="15">
        <f>ROUND(152684.82,2)</f>
        <v>152684.82</v>
      </c>
      <c r="K129" s="15"/>
      <c r="L129" s="15">
        <f>ROUND(0,2)</f>
        <v>0</v>
      </c>
      <c r="M129" s="16">
        <v>87.24846857142857</v>
      </c>
      <c r="N129" s="16">
        <v>100</v>
      </c>
    </row>
    <row r="130" spans="1:14" ht="12.75" customHeight="1">
      <c r="A130" s="17" t="s">
        <v>102</v>
      </c>
      <c r="B130" s="17"/>
      <c r="C130" s="17"/>
      <c r="D130" s="11">
        <f>ROUND(175000,2)</f>
        <v>175000</v>
      </c>
      <c r="E130" s="11">
        <f>ROUND(175000,2)</f>
        <v>175000</v>
      </c>
      <c r="F130" s="11">
        <f t="shared" si="63"/>
        <v>0</v>
      </c>
      <c r="G130" s="11">
        <f t="shared" si="64"/>
        <v>152684.82</v>
      </c>
      <c r="H130" s="12">
        <f t="shared" si="65"/>
        <v>0</v>
      </c>
      <c r="I130" s="12"/>
      <c r="J130" s="12">
        <f>ROUND(0,2)</f>
        <v>0</v>
      </c>
      <c r="K130" s="12"/>
      <c r="L130" s="11">
        <f>ROUND(152684.82,2)</f>
        <v>152684.82</v>
      </c>
      <c r="M130" s="11">
        <f>ROUND(152684.82,2)</f>
        <v>152684.82</v>
      </c>
      <c r="N130" s="11">
        <f>ROUND(22315.18,2)</f>
        <v>22315.18</v>
      </c>
    </row>
    <row r="131" spans="1:14" ht="12.75" customHeight="1">
      <c r="A131" s="18"/>
      <c r="B131" s="18"/>
      <c r="C131" s="18"/>
      <c r="D131" s="19"/>
      <c r="E131" s="11">
        <f>ROUND(0,2)</f>
        <v>0</v>
      </c>
      <c r="F131" s="11">
        <f t="shared" si="63"/>
        <v>0</v>
      </c>
      <c r="G131" s="11">
        <f t="shared" si="64"/>
        <v>152684.82</v>
      </c>
      <c r="H131" s="12">
        <f t="shared" si="65"/>
        <v>0</v>
      </c>
      <c r="I131" s="12"/>
      <c r="J131" s="12">
        <f>ROUND(152684.82,2)</f>
        <v>152684.82</v>
      </c>
      <c r="K131" s="12"/>
      <c r="L131" s="11">
        <f>ROUND(0,2)</f>
        <v>0</v>
      </c>
      <c r="M131" s="20">
        <v>87.24846857142857</v>
      </c>
      <c r="N131" s="20">
        <v>100</v>
      </c>
    </row>
    <row r="132" spans="1:14" ht="18" customHeight="1">
      <c r="A132" s="18"/>
      <c r="B132" s="18"/>
      <c r="C132" s="18"/>
      <c r="D132" s="19"/>
      <c r="E132" s="19"/>
      <c r="F132" s="19"/>
      <c r="G132" s="19"/>
      <c r="H132" s="18"/>
      <c r="I132" s="18"/>
      <c r="J132" s="18"/>
      <c r="K132" s="18"/>
      <c r="L132" s="19"/>
      <c r="M132" s="19"/>
      <c r="N132" s="19"/>
    </row>
    <row r="133" spans="1:14" ht="12.75" customHeight="1">
      <c r="A133" s="10" t="s">
        <v>103</v>
      </c>
      <c r="B133" s="10"/>
      <c r="C133" s="10"/>
      <c r="D133" s="11">
        <f>ROUND(10000,2)</f>
        <v>10000</v>
      </c>
      <c r="E133" s="11">
        <f>ROUND(10000,2)</f>
        <v>10000</v>
      </c>
      <c r="F133" s="11">
        <f aca="true" t="shared" si="66" ref="F133:F136">ROUND(0,2)</f>
        <v>0</v>
      </c>
      <c r="G133" s="11">
        <f aca="true" t="shared" si="67" ref="G133:G136">ROUND(15630.31,2)</f>
        <v>15630.31</v>
      </c>
      <c r="H133" s="12">
        <f aca="true" t="shared" si="68" ref="H133:H136">ROUND(0,2)</f>
        <v>0</v>
      </c>
      <c r="I133" s="12"/>
      <c r="J133" s="12">
        <f>ROUND(4283.96,2)</f>
        <v>4283.96</v>
      </c>
      <c r="K133" s="12"/>
      <c r="L133" s="11">
        <f>ROUND(11346.35,2)</f>
        <v>11346.35</v>
      </c>
      <c r="M133" s="11">
        <f>ROUND(11346.35,2)</f>
        <v>11346.35</v>
      </c>
      <c r="N133" s="11">
        <f>ROUND(-5630.31,2)</f>
        <v>-5630.31</v>
      </c>
    </row>
    <row r="134" spans="1:14" ht="12.75" customHeight="1">
      <c r="A134" s="13" t="s">
        <v>104</v>
      </c>
      <c r="B134" s="13"/>
      <c r="C134" s="13"/>
      <c r="D134" s="14"/>
      <c r="E134" s="15">
        <f>ROUND(0,2)</f>
        <v>0</v>
      </c>
      <c r="F134" s="15">
        <f t="shared" si="66"/>
        <v>0</v>
      </c>
      <c r="G134" s="15">
        <f t="shared" si="67"/>
        <v>15630.31</v>
      </c>
      <c r="H134" s="15">
        <f t="shared" si="68"/>
        <v>0</v>
      </c>
      <c r="I134" s="15"/>
      <c r="J134" s="15">
        <f>ROUND(11346.35,2)</f>
        <v>11346.35</v>
      </c>
      <c r="K134" s="15"/>
      <c r="L134" s="15">
        <f>ROUND(0,2)</f>
        <v>0</v>
      </c>
      <c r="M134" s="16">
        <v>156.3031</v>
      </c>
      <c r="N134" s="16">
        <v>72.59197034479803</v>
      </c>
    </row>
    <row r="135" spans="1:14" ht="12.75" customHeight="1">
      <c r="A135" s="17" t="s">
        <v>105</v>
      </c>
      <c r="B135" s="17"/>
      <c r="C135" s="17"/>
      <c r="D135" s="11">
        <f>ROUND(10000,2)</f>
        <v>10000</v>
      </c>
      <c r="E135" s="11">
        <f>ROUND(10000,2)</f>
        <v>10000</v>
      </c>
      <c r="F135" s="11">
        <f t="shared" si="66"/>
        <v>0</v>
      </c>
      <c r="G135" s="11">
        <f t="shared" si="67"/>
        <v>15630.31</v>
      </c>
      <c r="H135" s="12">
        <f t="shared" si="68"/>
        <v>0</v>
      </c>
      <c r="I135" s="12"/>
      <c r="J135" s="12">
        <f>ROUND(4283.96,2)</f>
        <v>4283.96</v>
      </c>
      <c r="K135" s="12"/>
      <c r="L135" s="11">
        <f>ROUND(11346.35,2)</f>
        <v>11346.35</v>
      </c>
      <c r="M135" s="11">
        <f>ROUND(11346.35,2)</f>
        <v>11346.35</v>
      </c>
      <c r="N135" s="11">
        <f>ROUND(-5630.31,2)</f>
        <v>-5630.31</v>
      </c>
    </row>
    <row r="136" spans="1:14" ht="12.75" customHeight="1">
      <c r="A136" s="18"/>
      <c r="B136" s="18"/>
      <c r="C136" s="18"/>
      <c r="D136" s="19"/>
      <c r="E136" s="11">
        <f>ROUND(0,2)</f>
        <v>0</v>
      </c>
      <c r="F136" s="11">
        <f t="shared" si="66"/>
        <v>0</v>
      </c>
      <c r="G136" s="11">
        <f t="shared" si="67"/>
        <v>15630.31</v>
      </c>
      <c r="H136" s="12">
        <f t="shared" si="68"/>
        <v>0</v>
      </c>
      <c r="I136" s="12"/>
      <c r="J136" s="12">
        <f>ROUND(11346.35,2)</f>
        <v>11346.35</v>
      </c>
      <c r="K136" s="12"/>
      <c r="L136" s="11">
        <f>ROUND(0,2)</f>
        <v>0</v>
      </c>
      <c r="M136" s="20">
        <v>156.3031</v>
      </c>
      <c r="N136" s="20">
        <v>72.59197034479803</v>
      </c>
    </row>
    <row r="137" spans="1:14" ht="18" customHeight="1">
      <c r="A137" s="18"/>
      <c r="B137" s="18"/>
      <c r="C137" s="18"/>
      <c r="D137" s="19"/>
      <c r="E137" s="19"/>
      <c r="F137" s="19"/>
      <c r="G137" s="19"/>
      <c r="H137" s="18"/>
      <c r="I137" s="18"/>
      <c r="J137" s="18"/>
      <c r="K137" s="18"/>
      <c r="L137" s="19"/>
      <c r="M137" s="19"/>
      <c r="N137" s="19"/>
    </row>
    <row r="138" spans="1:14" ht="12.75" customHeight="1">
      <c r="A138" s="10" t="s">
        <v>106</v>
      </c>
      <c r="B138" s="10"/>
      <c r="C138" s="10"/>
      <c r="D138" s="11">
        <f>ROUND(15000,2)</f>
        <v>15000</v>
      </c>
      <c r="E138" s="11">
        <f>ROUND(15000,2)</f>
        <v>15000</v>
      </c>
      <c r="F138" s="11">
        <f aca="true" t="shared" si="69" ref="F138:F141">ROUND(0,2)</f>
        <v>0</v>
      </c>
      <c r="G138" s="11">
        <f aca="true" t="shared" si="70" ref="G138:G141">ROUND(786.78,2)</f>
        <v>786.78</v>
      </c>
      <c r="H138" s="12">
        <f aca="true" t="shared" si="71" ref="H138:H141">ROUND(0,2)</f>
        <v>0</v>
      </c>
      <c r="I138" s="12"/>
      <c r="J138" s="12">
        <f>ROUND(0,2)</f>
        <v>0</v>
      </c>
      <c r="K138" s="12"/>
      <c r="L138" s="11">
        <f>ROUND(786.78,2)</f>
        <v>786.78</v>
      </c>
      <c r="M138" s="11">
        <f>ROUND(786.78,2)</f>
        <v>786.78</v>
      </c>
      <c r="N138" s="11">
        <f>ROUND(14213.22,2)</f>
        <v>14213.22</v>
      </c>
    </row>
    <row r="139" spans="1:14" ht="12.75" customHeight="1">
      <c r="A139" s="13" t="s">
        <v>107</v>
      </c>
      <c r="B139" s="13"/>
      <c r="C139" s="13"/>
      <c r="D139" s="14"/>
      <c r="E139" s="15">
        <f>ROUND(0,2)</f>
        <v>0</v>
      </c>
      <c r="F139" s="15">
        <f t="shared" si="69"/>
        <v>0</v>
      </c>
      <c r="G139" s="15">
        <f t="shared" si="70"/>
        <v>786.78</v>
      </c>
      <c r="H139" s="15">
        <f t="shared" si="71"/>
        <v>0</v>
      </c>
      <c r="I139" s="15"/>
      <c r="J139" s="15">
        <f>ROUND(786.78,2)</f>
        <v>786.78</v>
      </c>
      <c r="K139" s="15"/>
      <c r="L139" s="15">
        <f>ROUND(0,2)</f>
        <v>0</v>
      </c>
      <c r="M139" s="16">
        <v>5.2452</v>
      </c>
      <c r="N139" s="16">
        <v>100</v>
      </c>
    </row>
    <row r="140" spans="1:14" ht="12.75" customHeight="1">
      <c r="A140" s="17" t="s">
        <v>108</v>
      </c>
      <c r="B140" s="17"/>
      <c r="C140" s="17"/>
      <c r="D140" s="11">
        <f>ROUND(15000,2)</f>
        <v>15000</v>
      </c>
      <c r="E140" s="11">
        <f>ROUND(15000,2)</f>
        <v>15000</v>
      </c>
      <c r="F140" s="11">
        <f t="shared" si="69"/>
        <v>0</v>
      </c>
      <c r="G140" s="11">
        <f t="shared" si="70"/>
        <v>786.78</v>
      </c>
      <c r="H140" s="12">
        <f t="shared" si="71"/>
        <v>0</v>
      </c>
      <c r="I140" s="12"/>
      <c r="J140" s="12">
        <f>ROUND(0,2)</f>
        <v>0</v>
      </c>
      <c r="K140" s="12"/>
      <c r="L140" s="11">
        <f>ROUND(786.78,2)</f>
        <v>786.78</v>
      </c>
      <c r="M140" s="11">
        <f>ROUND(786.78,2)</f>
        <v>786.78</v>
      </c>
      <c r="N140" s="11">
        <f>ROUND(14213.22,2)</f>
        <v>14213.22</v>
      </c>
    </row>
    <row r="141" spans="1:14" ht="12.75" customHeight="1">
      <c r="A141" s="18"/>
      <c r="B141" s="18"/>
      <c r="C141" s="18"/>
      <c r="D141" s="19"/>
      <c r="E141" s="11">
        <f>ROUND(0,2)</f>
        <v>0</v>
      </c>
      <c r="F141" s="11">
        <f t="shared" si="69"/>
        <v>0</v>
      </c>
      <c r="G141" s="11">
        <f t="shared" si="70"/>
        <v>786.78</v>
      </c>
      <c r="H141" s="12">
        <f t="shared" si="71"/>
        <v>0</v>
      </c>
      <c r="I141" s="12"/>
      <c r="J141" s="12">
        <f>ROUND(786.78,2)</f>
        <v>786.78</v>
      </c>
      <c r="K141" s="12"/>
      <c r="L141" s="11">
        <f>ROUND(0,2)</f>
        <v>0</v>
      </c>
      <c r="M141" s="20">
        <v>5.2452</v>
      </c>
      <c r="N141" s="20">
        <v>100</v>
      </c>
    </row>
    <row r="142" spans="1:14" ht="18" customHeight="1">
      <c r="A142" s="18"/>
      <c r="B142" s="18"/>
      <c r="C142" s="18"/>
      <c r="D142" s="19"/>
      <c r="E142" s="19"/>
      <c r="F142" s="19"/>
      <c r="G142" s="19"/>
      <c r="H142" s="18"/>
      <c r="I142" s="18"/>
      <c r="J142" s="18"/>
      <c r="K142" s="18"/>
      <c r="L142" s="19"/>
      <c r="M142" s="19"/>
      <c r="N142" s="19"/>
    </row>
    <row r="143" spans="1:14" ht="12.75" customHeight="1">
      <c r="A143" s="10" t="s">
        <v>109</v>
      </c>
      <c r="B143" s="10"/>
      <c r="C143" s="10"/>
      <c r="D143" s="11">
        <f>ROUND(200,2)</f>
        <v>200</v>
      </c>
      <c r="E143" s="11">
        <f>ROUND(200,2)</f>
        <v>200</v>
      </c>
      <c r="F143" s="11">
        <f aca="true" t="shared" si="72" ref="F143:F154">ROUND(0,2)</f>
        <v>0</v>
      </c>
      <c r="G143" s="11">
        <f aca="true" t="shared" si="73" ref="G143:G144">ROUND(0,2)</f>
        <v>0</v>
      </c>
      <c r="H143" s="12">
        <f aca="true" t="shared" si="74" ref="H143:H154">ROUND(0,2)</f>
        <v>0</v>
      </c>
      <c r="I143" s="12"/>
      <c r="J143" s="12">
        <f aca="true" t="shared" si="75" ref="J143:J144">ROUND(0,2)</f>
        <v>0</v>
      </c>
      <c r="K143" s="12"/>
      <c r="L143" s="11">
        <f aca="true" t="shared" si="76" ref="L143:L144">ROUND(0,2)</f>
        <v>0</v>
      </c>
      <c r="M143" s="11">
        <f>ROUND(0,2)</f>
        <v>0</v>
      </c>
      <c r="N143" s="11">
        <f>ROUND(200,2)</f>
        <v>200</v>
      </c>
    </row>
    <row r="144" spans="1:14" ht="12.75" customHeight="1">
      <c r="A144" s="13" t="s">
        <v>110</v>
      </c>
      <c r="B144" s="13"/>
      <c r="C144" s="13"/>
      <c r="D144" s="14"/>
      <c r="E144" s="15">
        <f>ROUND(0,2)</f>
        <v>0</v>
      </c>
      <c r="F144" s="15">
        <f t="shared" si="72"/>
        <v>0</v>
      </c>
      <c r="G144" s="15">
        <f t="shared" si="73"/>
        <v>0</v>
      </c>
      <c r="H144" s="15">
        <f t="shared" si="74"/>
        <v>0</v>
      </c>
      <c r="I144" s="15"/>
      <c r="J144" s="15">
        <f t="shared" si="75"/>
        <v>0</v>
      </c>
      <c r="K144" s="15"/>
      <c r="L144" s="15">
        <f t="shared" si="76"/>
        <v>0</v>
      </c>
      <c r="M144" s="16">
        <v>0</v>
      </c>
      <c r="N144" s="16">
        <v>0</v>
      </c>
    </row>
    <row r="145" spans="1:14" ht="12.75" customHeight="1">
      <c r="A145" s="10" t="s">
        <v>111</v>
      </c>
      <c r="B145" s="10"/>
      <c r="C145" s="10"/>
      <c r="D145" s="11">
        <f>ROUND(120000,2)</f>
        <v>120000</v>
      </c>
      <c r="E145" s="11">
        <f>ROUND(120000,2)</f>
        <v>120000</v>
      </c>
      <c r="F145" s="11">
        <f t="shared" si="72"/>
        <v>0</v>
      </c>
      <c r="G145" s="11">
        <f aca="true" t="shared" si="77" ref="G145:G146">ROUND(141145.75,2)</f>
        <v>141145.75</v>
      </c>
      <c r="H145" s="12">
        <f t="shared" si="74"/>
        <v>0</v>
      </c>
      <c r="I145" s="12"/>
      <c r="J145" s="12">
        <f>ROUND(6326.07000000001,2)</f>
        <v>6326.07</v>
      </c>
      <c r="K145" s="12"/>
      <c r="L145" s="11">
        <f>ROUND(134819.68,2)</f>
        <v>134819.68</v>
      </c>
      <c r="M145" s="11">
        <f>ROUND(134819.68,2)</f>
        <v>134819.68</v>
      </c>
      <c r="N145" s="11">
        <f>ROUND(-21145.75,2)</f>
        <v>-21145.75</v>
      </c>
    </row>
    <row r="146" spans="1:14" ht="12.75" customHeight="1">
      <c r="A146" s="13" t="s">
        <v>112</v>
      </c>
      <c r="B146" s="13"/>
      <c r="C146" s="13"/>
      <c r="D146" s="14"/>
      <c r="E146" s="15">
        <f aca="true" t="shared" si="78" ref="E146:E152">ROUND(0,2)</f>
        <v>0</v>
      </c>
      <c r="F146" s="15">
        <f t="shared" si="72"/>
        <v>0</v>
      </c>
      <c r="G146" s="15">
        <f t="shared" si="77"/>
        <v>141145.75</v>
      </c>
      <c r="H146" s="15">
        <f t="shared" si="74"/>
        <v>0</v>
      </c>
      <c r="I146" s="15"/>
      <c r="J146" s="15">
        <f>ROUND(134819.68,2)</f>
        <v>134819.68</v>
      </c>
      <c r="K146" s="15"/>
      <c r="L146" s="15">
        <f>ROUND(0,2)</f>
        <v>0</v>
      </c>
      <c r="M146" s="16">
        <v>117.62145833333332</v>
      </c>
      <c r="N146" s="16">
        <v>95.51805846084632</v>
      </c>
    </row>
    <row r="147" spans="1:14" ht="12.75" customHeight="1">
      <c r="A147" s="10" t="s">
        <v>113</v>
      </c>
      <c r="B147" s="10"/>
      <c r="C147" s="10"/>
      <c r="D147" s="11">
        <f>ROUND(0,2)</f>
        <v>0</v>
      </c>
      <c r="E147" s="11">
        <f t="shared" si="78"/>
        <v>0</v>
      </c>
      <c r="F147" s="11">
        <f t="shared" si="72"/>
        <v>0</v>
      </c>
      <c r="G147" s="11">
        <f>ROUND(11190,2)</f>
        <v>11190</v>
      </c>
      <c r="H147" s="12">
        <f t="shared" si="74"/>
        <v>0</v>
      </c>
      <c r="I147" s="12"/>
      <c r="J147" s="12">
        <f>ROUND(0,2)</f>
        <v>0</v>
      </c>
      <c r="K147" s="12"/>
      <c r="L147" s="11">
        <f>ROUND(11190,2)</f>
        <v>11190</v>
      </c>
      <c r="M147" s="11">
        <f>ROUND(11177.5,2)</f>
        <v>11177.5</v>
      </c>
      <c r="N147" s="11">
        <f>ROUND(-11177.5,2)</f>
        <v>-11177.5</v>
      </c>
    </row>
    <row r="148" spans="1:14" ht="12.75" customHeight="1">
      <c r="A148" s="13" t="s">
        <v>114</v>
      </c>
      <c r="B148" s="13"/>
      <c r="C148" s="13"/>
      <c r="D148" s="14"/>
      <c r="E148" s="15">
        <f t="shared" si="78"/>
        <v>0</v>
      </c>
      <c r="F148" s="15">
        <f t="shared" si="72"/>
        <v>0</v>
      </c>
      <c r="G148" s="15">
        <f>ROUND(11177.5,2)</f>
        <v>11177.5</v>
      </c>
      <c r="H148" s="15">
        <f t="shared" si="74"/>
        <v>0</v>
      </c>
      <c r="I148" s="15"/>
      <c r="J148" s="15">
        <f>ROUND(11190,2)</f>
        <v>11190</v>
      </c>
      <c r="K148" s="15"/>
      <c r="L148" s="15">
        <f>ROUND(12.5,2)</f>
        <v>12.5</v>
      </c>
      <c r="M148" s="16">
        <v>0</v>
      </c>
      <c r="N148" s="16">
        <v>100</v>
      </c>
    </row>
    <row r="149" spans="1:14" ht="12.75" customHeight="1">
      <c r="A149" s="10" t="s">
        <v>115</v>
      </c>
      <c r="B149" s="10"/>
      <c r="C149" s="10"/>
      <c r="D149" s="11">
        <f>ROUND(0,2)</f>
        <v>0</v>
      </c>
      <c r="E149" s="11">
        <f t="shared" si="78"/>
        <v>0</v>
      </c>
      <c r="F149" s="11">
        <f t="shared" si="72"/>
        <v>0</v>
      </c>
      <c r="G149" s="11">
        <f aca="true" t="shared" si="79" ref="G149:G150">ROUND(14350,2)</f>
        <v>14350</v>
      </c>
      <c r="H149" s="12">
        <f t="shared" si="74"/>
        <v>0</v>
      </c>
      <c r="I149" s="12"/>
      <c r="J149" s="12">
        <f>ROUND(0,2)</f>
        <v>0</v>
      </c>
      <c r="K149" s="12"/>
      <c r="L149" s="11">
        <f>ROUND(14350,2)</f>
        <v>14350</v>
      </c>
      <c r="M149" s="11">
        <f>ROUND(14350,2)</f>
        <v>14350</v>
      </c>
      <c r="N149" s="11">
        <f>ROUND(-14350,2)</f>
        <v>-14350</v>
      </c>
    </row>
    <row r="150" spans="1:14" ht="12.75" customHeight="1">
      <c r="A150" s="13" t="s">
        <v>116</v>
      </c>
      <c r="B150" s="13"/>
      <c r="C150" s="13"/>
      <c r="D150" s="14"/>
      <c r="E150" s="15">
        <f t="shared" si="78"/>
        <v>0</v>
      </c>
      <c r="F150" s="15">
        <f t="shared" si="72"/>
        <v>0</v>
      </c>
      <c r="G150" s="15">
        <f t="shared" si="79"/>
        <v>14350</v>
      </c>
      <c r="H150" s="15">
        <f t="shared" si="74"/>
        <v>0</v>
      </c>
      <c r="I150" s="15"/>
      <c r="J150" s="15">
        <f>ROUND(14350,2)</f>
        <v>14350</v>
      </c>
      <c r="K150" s="15"/>
      <c r="L150" s="15">
        <f>ROUND(0,2)</f>
        <v>0</v>
      </c>
      <c r="M150" s="16">
        <v>0</v>
      </c>
      <c r="N150" s="16">
        <v>100</v>
      </c>
    </row>
    <row r="151" spans="1:14" ht="12.75" customHeight="1">
      <c r="A151" s="10" t="s">
        <v>117</v>
      </c>
      <c r="B151" s="10"/>
      <c r="C151" s="10"/>
      <c r="D151" s="11">
        <f>ROUND(0,2)</f>
        <v>0</v>
      </c>
      <c r="E151" s="11">
        <f t="shared" si="78"/>
        <v>0</v>
      </c>
      <c r="F151" s="11">
        <f t="shared" si="72"/>
        <v>0</v>
      </c>
      <c r="G151" s="11">
        <f aca="true" t="shared" si="80" ref="G151:G152">ROUND(5150,2)</f>
        <v>5150</v>
      </c>
      <c r="H151" s="12">
        <f t="shared" si="74"/>
        <v>0</v>
      </c>
      <c r="I151" s="12"/>
      <c r="J151" s="12">
        <f>ROUND(0,2)</f>
        <v>0</v>
      </c>
      <c r="K151" s="12"/>
      <c r="L151" s="11">
        <f>ROUND(5150,2)</f>
        <v>5150</v>
      </c>
      <c r="M151" s="11">
        <f>ROUND(5150,2)</f>
        <v>5150</v>
      </c>
      <c r="N151" s="11">
        <f>ROUND(-5150,2)</f>
        <v>-5150</v>
      </c>
    </row>
    <row r="152" spans="1:14" ht="12.75" customHeight="1">
      <c r="A152" s="13" t="s">
        <v>118</v>
      </c>
      <c r="B152" s="13"/>
      <c r="C152" s="13"/>
      <c r="D152" s="14"/>
      <c r="E152" s="15">
        <f t="shared" si="78"/>
        <v>0</v>
      </c>
      <c r="F152" s="15">
        <f t="shared" si="72"/>
        <v>0</v>
      </c>
      <c r="G152" s="15">
        <f t="shared" si="80"/>
        <v>5150</v>
      </c>
      <c r="H152" s="15">
        <f t="shared" si="74"/>
        <v>0</v>
      </c>
      <c r="I152" s="15"/>
      <c r="J152" s="15">
        <f>ROUND(5150,2)</f>
        <v>5150</v>
      </c>
      <c r="K152" s="15"/>
      <c r="L152" s="15">
        <f>ROUND(0,2)</f>
        <v>0</v>
      </c>
      <c r="M152" s="16">
        <v>0</v>
      </c>
      <c r="N152" s="16">
        <v>100</v>
      </c>
    </row>
    <row r="153" spans="1:14" ht="12.75" customHeight="1">
      <c r="A153" s="17" t="s">
        <v>119</v>
      </c>
      <c r="B153" s="17"/>
      <c r="C153" s="17"/>
      <c r="D153" s="11">
        <f>ROUND(120200,2)</f>
        <v>120200</v>
      </c>
      <c r="E153" s="11">
        <f>ROUND(120200,2)</f>
        <v>120200</v>
      </c>
      <c r="F153" s="11">
        <f t="shared" si="72"/>
        <v>0</v>
      </c>
      <c r="G153" s="11">
        <f>ROUND(171835.75,2)</f>
        <v>171835.75</v>
      </c>
      <c r="H153" s="12">
        <f t="shared" si="74"/>
        <v>0</v>
      </c>
      <c r="I153" s="12"/>
      <c r="J153" s="12">
        <f>ROUND(6326.07000000001,2)</f>
        <v>6326.07</v>
      </c>
      <c r="K153" s="12"/>
      <c r="L153" s="11">
        <f>ROUND(165509.68,2)</f>
        <v>165509.68</v>
      </c>
      <c r="M153" s="11">
        <f>ROUND(165497.18,2)</f>
        <v>165497.18</v>
      </c>
      <c r="N153" s="11">
        <f>ROUND(-51623.25,2)</f>
        <v>-51623.25</v>
      </c>
    </row>
    <row r="154" spans="1:14" ht="12.75" customHeight="1">
      <c r="A154" s="18"/>
      <c r="B154" s="18"/>
      <c r="C154" s="18"/>
      <c r="D154" s="19"/>
      <c r="E154" s="11">
        <f>ROUND(0,2)</f>
        <v>0</v>
      </c>
      <c r="F154" s="11">
        <f t="shared" si="72"/>
        <v>0</v>
      </c>
      <c r="G154" s="11">
        <f>ROUND(171823.25,2)</f>
        <v>171823.25</v>
      </c>
      <c r="H154" s="12">
        <f t="shared" si="74"/>
        <v>0</v>
      </c>
      <c r="I154" s="12"/>
      <c r="J154" s="12">
        <f>ROUND(165509.68,2)</f>
        <v>165509.68</v>
      </c>
      <c r="K154" s="12"/>
      <c r="L154" s="11">
        <f>ROUND(12.5,2)</f>
        <v>12.5</v>
      </c>
      <c r="M154" s="20">
        <v>142.94779534109816</v>
      </c>
      <c r="N154" s="20">
        <v>96.31826891878717</v>
      </c>
    </row>
    <row r="155" spans="1:14" ht="18" customHeight="1">
      <c r="A155" s="18"/>
      <c r="B155" s="18"/>
      <c r="C155" s="18"/>
      <c r="D155" s="19"/>
      <c r="E155" s="19"/>
      <c r="F155" s="19"/>
      <c r="G155" s="19"/>
      <c r="H155" s="18"/>
      <c r="I155" s="18"/>
      <c r="J155" s="18"/>
      <c r="K155" s="18"/>
      <c r="L155" s="19"/>
      <c r="M155" s="19"/>
      <c r="N155" s="19"/>
    </row>
    <row r="156" spans="1:14" ht="12.75" customHeight="1">
      <c r="A156" s="10" t="s">
        <v>120</v>
      </c>
      <c r="B156" s="10"/>
      <c r="C156" s="10"/>
      <c r="D156" s="11">
        <f>ROUND(75000,2)</f>
        <v>75000</v>
      </c>
      <c r="E156" s="11">
        <f>ROUND(75000,2)</f>
        <v>75000</v>
      </c>
      <c r="F156" s="11">
        <f aca="true" t="shared" si="81" ref="F156:F161">ROUND(0,2)</f>
        <v>0</v>
      </c>
      <c r="G156" s="11">
        <f>ROUND(20916,2)</f>
        <v>20916</v>
      </c>
      <c r="H156" s="12">
        <f aca="true" t="shared" si="82" ref="H156:H161">ROUND(0,2)</f>
        <v>0</v>
      </c>
      <c r="I156" s="12"/>
      <c r="J156" s="12">
        <f>ROUND(0,2)</f>
        <v>0</v>
      </c>
      <c r="K156" s="12"/>
      <c r="L156" s="11">
        <f>ROUND(20916,2)</f>
        <v>20916</v>
      </c>
      <c r="M156" s="11">
        <f>ROUND(14450.42,2)</f>
        <v>14450.42</v>
      </c>
      <c r="N156" s="11">
        <f>ROUND(60549.58,2)</f>
        <v>60549.58</v>
      </c>
    </row>
    <row r="157" spans="1:14" ht="12.75" customHeight="1">
      <c r="A157" s="13" t="s">
        <v>121</v>
      </c>
      <c r="B157" s="13"/>
      <c r="C157" s="13"/>
      <c r="D157" s="14"/>
      <c r="E157" s="15">
        <f>ROUND(0,2)</f>
        <v>0</v>
      </c>
      <c r="F157" s="15">
        <f t="shared" si="81"/>
        <v>0</v>
      </c>
      <c r="G157" s="15">
        <f>ROUND(14450.42,2)</f>
        <v>14450.42</v>
      </c>
      <c r="H157" s="15">
        <f t="shared" si="82"/>
        <v>0</v>
      </c>
      <c r="I157" s="15"/>
      <c r="J157" s="15">
        <f>ROUND(20916,2)</f>
        <v>20916</v>
      </c>
      <c r="K157" s="15"/>
      <c r="L157" s="15">
        <f>ROUND(6465.58,2)</f>
        <v>6465.58</v>
      </c>
      <c r="M157" s="16">
        <v>19.267226666666666</v>
      </c>
      <c r="N157" s="16">
        <v>100</v>
      </c>
    </row>
    <row r="158" spans="1:14" ht="12.75" customHeight="1">
      <c r="A158" s="10" t="s">
        <v>122</v>
      </c>
      <c r="B158" s="10"/>
      <c r="C158" s="10"/>
      <c r="D158" s="11">
        <f>ROUND(100,2)</f>
        <v>100</v>
      </c>
      <c r="E158" s="11">
        <f>ROUND(100,2)</f>
        <v>100</v>
      </c>
      <c r="F158" s="11">
        <f t="shared" si="81"/>
        <v>0</v>
      </c>
      <c r="G158" s="11">
        <f aca="true" t="shared" si="83" ref="G158:G159">ROUND(1320,2)</f>
        <v>1320</v>
      </c>
      <c r="H158" s="12">
        <f t="shared" si="82"/>
        <v>0</v>
      </c>
      <c r="I158" s="12"/>
      <c r="J158" s="12">
        <f>ROUND(0,2)</f>
        <v>0</v>
      </c>
      <c r="K158" s="12"/>
      <c r="L158" s="11">
        <f>ROUND(1320,2)</f>
        <v>1320</v>
      </c>
      <c r="M158" s="11">
        <f>ROUND(1320,2)</f>
        <v>1320</v>
      </c>
      <c r="N158" s="11">
        <f>ROUND(-1220,2)</f>
        <v>-1220</v>
      </c>
    </row>
    <row r="159" spans="1:14" ht="12.75" customHeight="1">
      <c r="A159" s="13" t="s">
        <v>123</v>
      </c>
      <c r="B159" s="13"/>
      <c r="C159" s="13"/>
      <c r="D159" s="14"/>
      <c r="E159" s="15">
        <f>ROUND(0,2)</f>
        <v>0</v>
      </c>
      <c r="F159" s="15">
        <f t="shared" si="81"/>
        <v>0</v>
      </c>
      <c r="G159" s="15">
        <f t="shared" si="83"/>
        <v>1320</v>
      </c>
      <c r="H159" s="15">
        <f t="shared" si="82"/>
        <v>0</v>
      </c>
      <c r="I159" s="15"/>
      <c r="J159" s="15">
        <f>ROUND(1320,2)</f>
        <v>1320</v>
      </c>
      <c r="K159" s="15"/>
      <c r="L159" s="15">
        <f>ROUND(0,2)</f>
        <v>0</v>
      </c>
      <c r="M159" s="16">
        <v>1320</v>
      </c>
      <c r="N159" s="16">
        <v>100</v>
      </c>
    </row>
    <row r="160" spans="1:14" ht="12.75" customHeight="1">
      <c r="A160" s="17" t="s">
        <v>124</v>
      </c>
      <c r="B160" s="17"/>
      <c r="C160" s="17"/>
      <c r="D160" s="11">
        <f>ROUND(75100,2)</f>
        <v>75100</v>
      </c>
      <c r="E160" s="11">
        <f>ROUND(75100,2)</f>
        <v>75100</v>
      </c>
      <c r="F160" s="11">
        <f t="shared" si="81"/>
        <v>0</v>
      </c>
      <c r="G160" s="11">
        <f>ROUND(22236,2)</f>
        <v>22236</v>
      </c>
      <c r="H160" s="12">
        <f t="shared" si="82"/>
        <v>0</v>
      </c>
      <c r="I160" s="12"/>
      <c r="J160" s="12">
        <f>ROUND(0,2)</f>
        <v>0</v>
      </c>
      <c r="K160" s="12"/>
      <c r="L160" s="11">
        <f>ROUND(22236,2)</f>
        <v>22236</v>
      </c>
      <c r="M160" s="11">
        <f>ROUND(15770.42,2)</f>
        <v>15770.42</v>
      </c>
      <c r="N160" s="11">
        <f>ROUND(59329.58,2)</f>
        <v>59329.58</v>
      </c>
    </row>
    <row r="161" spans="1:14" ht="12.75" customHeight="1">
      <c r="A161" s="18"/>
      <c r="B161" s="18"/>
      <c r="C161" s="18"/>
      <c r="D161" s="19"/>
      <c r="E161" s="11">
        <f>ROUND(0,2)</f>
        <v>0</v>
      </c>
      <c r="F161" s="11">
        <f t="shared" si="81"/>
        <v>0</v>
      </c>
      <c r="G161" s="11">
        <f>ROUND(15770.42,2)</f>
        <v>15770.42</v>
      </c>
      <c r="H161" s="12">
        <f t="shared" si="82"/>
        <v>0</v>
      </c>
      <c r="I161" s="12"/>
      <c r="J161" s="12">
        <f>ROUND(22236,2)</f>
        <v>22236</v>
      </c>
      <c r="K161" s="12"/>
      <c r="L161" s="11">
        <f>ROUND(6465.58,2)</f>
        <v>6465.58</v>
      </c>
      <c r="M161" s="20">
        <v>20.999227696404795</v>
      </c>
      <c r="N161" s="20">
        <v>100</v>
      </c>
    </row>
    <row r="162" spans="1:14" ht="18" customHeight="1">
      <c r="A162" s="18"/>
      <c r="B162" s="18"/>
      <c r="C162" s="18"/>
      <c r="D162" s="19"/>
      <c r="E162" s="19"/>
      <c r="F162" s="19"/>
      <c r="G162" s="19"/>
      <c r="H162" s="18"/>
      <c r="I162" s="18"/>
      <c r="J162" s="18"/>
      <c r="K162" s="18"/>
      <c r="L162" s="19"/>
      <c r="M162" s="19"/>
      <c r="N162" s="19"/>
    </row>
    <row r="163" spans="1:14" ht="12.75" customHeight="1">
      <c r="A163" s="10" t="s">
        <v>125</v>
      </c>
      <c r="B163" s="10"/>
      <c r="C163" s="10"/>
      <c r="D163" s="11">
        <f>ROUND(500,2)</f>
        <v>500</v>
      </c>
      <c r="E163" s="11">
        <f>ROUND(500,2)</f>
        <v>500</v>
      </c>
      <c r="F163" s="11">
        <f aca="true" t="shared" si="84" ref="F163:F166">ROUND(0,2)</f>
        <v>0</v>
      </c>
      <c r="G163" s="11">
        <f aca="true" t="shared" si="85" ref="G163:G166">ROUND(181.5,2)</f>
        <v>181.5</v>
      </c>
      <c r="H163" s="12">
        <f aca="true" t="shared" si="86" ref="H163:H166">ROUND(0,2)</f>
        <v>0</v>
      </c>
      <c r="I163" s="12"/>
      <c r="J163" s="12">
        <f>ROUND(82.5,2)</f>
        <v>82.5</v>
      </c>
      <c r="K163" s="12"/>
      <c r="L163" s="11">
        <f>ROUND(99,2)</f>
        <v>99</v>
      </c>
      <c r="M163" s="11">
        <f>ROUND(99,2)</f>
        <v>99</v>
      </c>
      <c r="N163" s="11">
        <f>ROUND(318.5,2)</f>
        <v>318.5</v>
      </c>
    </row>
    <row r="164" spans="1:14" ht="12.75" customHeight="1">
      <c r="A164" s="13" t="s">
        <v>126</v>
      </c>
      <c r="B164" s="13"/>
      <c r="C164" s="13"/>
      <c r="D164" s="14"/>
      <c r="E164" s="15">
        <f>ROUND(0,2)</f>
        <v>0</v>
      </c>
      <c r="F164" s="15">
        <f t="shared" si="84"/>
        <v>0</v>
      </c>
      <c r="G164" s="15">
        <f t="shared" si="85"/>
        <v>181.5</v>
      </c>
      <c r="H164" s="15">
        <f t="shared" si="86"/>
        <v>0</v>
      </c>
      <c r="I164" s="15"/>
      <c r="J164" s="15">
        <f>ROUND(99,2)</f>
        <v>99</v>
      </c>
      <c r="K164" s="15"/>
      <c r="L164" s="15">
        <f>ROUND(0,2)</f>
        <v>0</v>
      </c>
      <c r="M164" s="16">
        <v>36.3</v>
      </c>
      <c r="N164" s="16">
        <v>54.54545454545454</v>
      </c>
    </row>
    <row r="165" spans="1:14" ht="12.75" customHeight="1">
      <c r="A165" s="17" t="s">
        <v>127</v>
      </c>
      <c r="B165" s="17"/>
      <c r="C165" s="17"/>
      <c r="D165" s="11">
        <f>ROUND(500,2)</f>
        <v>500</v>
      </c>
      <c r="E165" s="11">
        <f>ROUND(500,2)</f>
        <v>500</v>
      </c>
      <c r="F165" s="11">
        <f t="shared" si="84"/>
        <v>0</v>
      </c>
      <c r="G165" s="11">
        <f t="shared" si="85"/>
        <v>181.5</v>
      </c>
      <c r="H165" s="12">
        <f t="shared" si="86"/>
        <v>0</v>
      </c>
      <c r="I165" s="12"/>
      <c r="J165" s="12">
        <f>ROUND(82.5,2)</f>
        <v>82.5</v>
      </c>
      <c r="K165" s="12"/>
      <c r="L165" s="11">
        <f>ROUND(99,2)</f>
        <v>99</v>
      </c>
      <c r="M165" s="11">
        <f>ROUND(99,2)</f>
        <v>99</v>
      </c>
      <c r="N165" s="11">
        <f>ROUND(318.5,2)</f>
        <v>318.5</v>
      </c>
    </row>
    <row r="166" spans="1:14" ht="12.75" customHeight="1">
      <c r="A166" s="18"/>
      <c r="B166" s="18"/>
      <c r="C166" s="18"/>
      <c r="D166" s="19"/>
      <c r="E166" s="11">
        <f>ROUND(0,2)</f>
        <v>0</v>
      </c>
      <c r="F166" s="11">
        <f t="shared" si="84"/>
        <v>0</v>
      </c>
      <c r="G166" s="11">
        <f t="shared" si="85"/>
        <v>181.5</v>
      </c>
      <c r="H166" s="12">
        <f t="shared" si="86"/>
        <v>0</v>
      </c>
      <c r="I166" s="12"/>
      <c r="J166" s="12">
        <f>ROUND(99,2)</f>
        <v>99</v>
      </c>
      <c r="K166" s="12"/>
      <c r="L166" s="11">
        <f>ROUND(0,2)</f>
        <v>0</v>
      </c>
      <c r="M166" s="20">
        <v>36.3</v>
      </c>
      <c r="N166" s="20">
        <v>54.54545454545454</v>
      </c>
    </row>
    <row r="167" spans="1:14" ht="18" customHeight="1">
      <c r="A167" s="18"/>
      <c r="B167" s="18"/>
      <c r="C167" s="18"/>
      <c r="D167" s="19"/>
      <c r="E167" s="19"/>
      <c r="F167" s="19"/>
      <c r="G167" s="19"/>
      <c r="H167" s="18"/>
      <c r="I167" s="18"/>
      <c r="J167" s="18"/>
      <c r="K167" s="18"/>
      <c r="L167" s="19"/>
      <c r="M167" s="19"/>
      <c r="N167" s="19"/>
    </row>
    <row r="168" spans="1:14" ht="12.75" customHeight="1">
      <c r="A168" s="10" t="s">
        <v>128</v>
      </c>
      <c r="B168" s="10"/>
      <c r="C168" s="10"/>
      <c r="D168" s="11">
        <f>ROUND(5000,2)</f>
        <v>5000</v>
      </c>
      <c r="E168" s="11">
        <f>ROUND(5000,2)</f>
        <v>5000</v>
      </c>
      <c r="F168" s="11">
        <f aca="true" t="shared" si="87" ref="F168:F173">ROUND(0,2)</f>
        <v>0</v>
      </c>
      <c r="G168" s="11">
        <f aca="true" t="shared" si="88" ref="G168:G169">ROUND(15915.07,2)</f>
        <v>15915.07</v>
      </c>
      <c r="H168" s="12">
        <f aca="true" t="shared" si="89" ref="H168:H173">ROUND(0,2)</f>
        <v>0</v>
      </c>
      <c r="I168" s="12"/>
      <c r="J168" s="12">
        <f>ROUND(0,2)</f>
        <v>0</v>
      </c>
      <c r="K168" s="12"/>
      <c r="L168" s="11">
        <f>ROUND(15915.07,2)</f>
        <v>15915.07</v>
      </c>
      <c r="M168" s="11">
        <f>ROUND(15915.07,2)</f>
        <v>15915.07</v>
      </c>
      <c r="N168" s="11">
        <f>ROUND(-10915.07,2)</f>
        <v>-10915.07</v>
      </c>
    </row>
    <row r="169" spans="1:14" ht="12.75" customHeight="1">
      <c r="A169" s="13" t="s">
        <v>129</v>
      </c>
      <c r="B169" s="13"/>
      <c r="C169" s="13"/>
      <c r="D169" s="14"/>
      <c r="E169" s="15">
        <f>ROUND(0,2)</f>
        <v>0</v>
      </c>
      <c r="F169" s="15">
        <f t="shared" si="87"/>
        <v>0</v>
      </c>
      <c r="G169" s="15">
        <f t="shared" si="88"/>
        <v>15915.07</v>
      </c>
      <c r="H169" s="15">
        <f t="shared" si="89"/>
        <v>0</v>
      </c>
      <c r="I169" s="15"/>
      <c r="J169" s="15">
        <f>ROUND(15915.07,2)</f>
        <v>15915.07</v>
      </c>
      <c r="K169" s="15"/>
      <c r="L169" s="15">
        <f>ROUND(0,2)</f>
        <v>0</v>
      </c>
      <c r="M169" s="16">
        <v>318.3014</v>
      </c>
      <c r="N169" s="16">
        <v>100</v>
      </c>
    </row>
    <row r="170" spans="1:14" ht="12.75" customHeight="1">
      <c r="A170" s="10" t="s">
        <v>130</v>
      </c>
      <c r="B170" s="10"/>
      <c r="C170" s="10"/>
      <c r="D170" s="11">
        <f>ROUND(10000,2)</f>
        <v>10000</v>
      </c>
      <c r="E170" s="11">
        <f>ROUND(10000,2)</f>
        <v>10000</v>
      </c>
      <c r="F170" s="11">
        <f t="shared" si="87"/>
        <v>0</v>
      </c>
      <c r="G170" s="11">
        <f aca="true" t="shared" si="90" ref="G170:G171">ROUND(9464.54,2)</f>
        <v>9464.54</v>
      </c>
      <c r="H170" s="12">
        <f t="shared" si="89"/>
        <v>0</v>
      </c>
      <c r="I170" s="12"/>
      <c r="J170" s="12">
        <f>ROUND(0,2)</f>
        <v>0</v>
      </c>
      <c r="K170" s="12"/>
      <c r="L170" s="11">
        <f>ROUND(9464.54,2)</f>
        <v>9464.54</v>
      </c>
      <c r="M170" s="11">
        <f>ROUND(9464.54,2)</f>
        <v>9464.54</v>
      </c>
      <c r="N170" s="11">
        <f>ROUND(535.459999999999,2)</f>
        <v>535.46</v>
      </c>
    </row>
    <row r="171" spans="1:14" ht="12.75" customHeight="1">
      <c r="A171" s="13" t="s">
        <v>131</v>
      </c>
      <c r="B171" s="13"/>
      <c r="C171" s="13"/>
      <c r="D171" s="14"/>
      <c r="E171" s="15">
        <f>ROUND(0,2)</f>
        <v>0</v>
      </c>
      <c r="F171" s="15">
        <f t="shared" si="87"/>
        <v>0</v>
      </c>
      <c r="G171" s="15">
        <f t="shared" si="90"/>
        <v>9464.54</v>
      </c>
      <c r="H171" s="15">
        <f t="shared" si="89"/>
        <v>0</v>
      </c>
      <c r="I171" s="15"/>
      <c r="J171" s="15">
        <f>ROUND(9464.54,2)</f>
        <v>9464.54</v>
      </c>
      <c r="K171" s="15"/>
      <c r="L171" s="15">
        <f>ROUND(0,2)</f>
        <v>0</v>
      </c>
      <c r="M171" s="16">
        <v>94.64540000000001</v>
      </c>
      <c r="N171" s="16">
        <v>100</v>
      </c>
    </row>
    <row r="172" spans="1:14" ht="12.75" customHeight="1">
      <c r="A172" s="17" t="s">
        <v>132</v>
      </c>
      <c r="B172" s="17"/>
      <c r="C172" s="17"/>
      <c r="D172" s="11">
        <f>ROUND(15000,2)</f>
        <v>15000</v>
      </c>
      <c r="E172" s="11">
        <f>ROUND(15000,2)</f>
        <v>15000</v>
      </c>
      <c r="F172" s="11">
        <f t="shared" si="87"/>
        <v>0</v>
      </c>
      <c r="G172" s="11">
        <f aca="true" t="shared" si="91" ref="G172:G173">ROUND(25379.61,2)</f>
        <v>25379.61</v>
      </c>
      <c r="H172" s="12">
        <f t="shared" si="89"/>
        <v>0</v>
      </c>
      <c r="I172" s="12"/>
      <c r="J172" s="12">
        <f>ROUND(0,2)</f>
        <v>0</v>
      </c>
      <c r="K172" s="12"/>
      <c r="L172" s="11">
        <f>ROUND(25379.61,2)</f>
        <v>25379.61</v>
      </c>
      <c r="M172" s="11">
        <f>ROUND(25379.61,2)</f>
        <v>25379.61</v>
      </c>
      <c r="N172" s="11">
        <f>ROUND(-10379.61,2)</f>
        <v>-10379.61</v>
      </c>
    </row>
    <row r="173" spans="1:14" ht="12.75" customHeight="1">
      <c r="A173" s="18"/>
      <c r="B173" s="18"/>
      <c r="C173" s="18"/>
      <c r="D173" s="19"/>
      <c r="E173" s="11">
        <f>ROUND(0,2)</f>
        <v>0</v>
      </c>
      <c r="F173" s="11">
        <f t="shared" si="87"/>
        <v>0</v>
      </c>
      <c r="G173" s="11">
        <f t="shared" si="91"/>
        <v>25379.61</v>
      </c>
      <c r="H173" s="12">
        <f t="shared" si="89"/>
        <v>0</v>
      </c>
      <c r="I173" s="12"/>
      <c r="J173" s="12">
        <f>ROUND(25379.61,2)</f>
        <v>25379.61</v>
      </c>
      <c r="K173" s="12"/>
      <c r="L173" s="11">
        <f>ROUND(0,2)</f>
        <v>0</v>
      </c>
      <c r="M173" s="20">
        <v>169.19740000000002</v>
      </c>
      <c r="N173" s="20">
        <v>100</v>
      </c>
    </row>
    <row r="174" spans="1:14" ht="18" customHeight="1">
      <c r="A174" s="18"/>
      <c r="B174" s="18"/>
      <c r="C174" s="18"/>
      <c r="D174" s="19"/>
      <c r="E174" s="19"/>
      <c r="F174" s="19"/>
      <c r="G174" s="19"/>
      <c r="H174" s="18"/>
      <c r="I174" s="18"/>
      <c r="J174" s="18"/>
      <c r="K174" s="18"/>
      <c r="L174" s="19"/>
      <c r="M174" s="19"/>
      <c r="N174" s="19"/>
    </row>
    <row r="175" spans="1:14" ht="12.75" customHeight="1">
      <c r="A175" s="10" t="s">
        <v>133</v>
      </c>
      <c r="B175" s="10"/>
      <c r="C175" s="10"/>
      <c r="D175" s="11">
        <f>ROUND(3000,2)</f>
        <v>3000</v>
      </c>
      <c r="E175" s="11">
        <f>ROUND(3000,2)</f>
        <v>3000</v>
      </c>
      <c r="F175" s="11">
        <f aca="true" t="shared" si="92" ref="F175:F182">ROUND(0,2)</f>
        <v>0</v>
      </c>
      <c r="G175" s="11">
        <f aca="true" t="shared" si="93" ref="G175:G176">ROUND(18107.26,2)</f>
        <v>18107.26</v>
      </c>
      <c r="H175" s="12">
        <f aca="true" t="shared" si="94" ref="H175:H176">ROUND(0,2)</f>
        <v>0</v>
      </c>
      <c r="I175" s="12"/>
      <c r="J175" s="12">
        <f>ROUND(12800,2)</f>
        <v>12800</v>
      </c>
      <c r="K175" s="12"/>
      <c r="L175" s="11">
        <f>ROUND(5307.26,2)</f>
        <v>5307.26</v>
      </c>
      <c r="M175" s="11">
        <f>ROUND(5307.26,2)</f>
        <v>5307.26</v>
      </c>
      <c r="N175" s="11">
        <f>ROUND(-15107.26,2)</f>
        <v>-15107.26</v>
      </c>
    </row>
    <row r="176" spans="1:14" ht="12.75" customHeight="1">
      <c r="A176" s="13" t="s">
        <v>134</v>
      </c>
      <c r="B176" s="13"/>
      <c r="C176" s="13"/>
      <c r="D176" s="14"/>
      <c r="E176" s="15">
        <f>ROUND(0,2)</f>
        <v>0</v>
      </c>
      <c r="F176" s="15">
        <f t="shared" si="92"/>
        <v>0</v>
      </c>
      <c r="G176" s="15">
        <f t="shared" si="93"/>
        <v>18107.26</v>
      </c>
      <c r="H176" s="15">
        <f t="shared" si="94"/>
        <v>0</v>
      </c>
      <c r="I176" s="15"/>
      <c r="J176" s="15">
        <f>ROUND(5307.26,2)</f>
        <v>5307.26</v>
      </c>
      <c r="K176" s="15"/>
      <c r="L176" s="15">
        <f>ROUND(0,2)</f>
        <v>0</v>
      </c>
      <c r="M176" s="16">
        <v>603.5753333333333</v>
      </c>
      <c r="N176" s="16">
        <v>29.310122017356576</v>
      </c>
    </row>
    <row r="177" spans="1:14" ht="12.75" customHeight="1">
      <c r="A177" s="10" t="s">
        <v>135</v>
      </c>
      <c r="B177" s="10"/>
      <c r="C177" s="10"/>
      <c r="D177" s="11">
        <f>ROUND(130000,2)</f>
        <v>130000</v>
      </c>
      <c r="E177" s="11">
        <f>ROUND(130000,2)</f>
        <v>130000</v>
      </c>
      <c r="F177" s="11">
        <f t="shared" si="92"/>
        <v>0</v>
      </c>
      <c r="G177" s="11">
        <f>ROUND(260431.29,2)</f>
        <v>260431.29</v>
      </c>
      <c r="H177" s="12">
        <f>ROUND(280,2)</f>
        <v>280</v>
      </c>
      <c r="I177" s="12"/>
      <c r="J177" s="12">
        <f>ROUND(128191.7,2)</f>
        <v>128191.7</v>
      </c>
      <c r="K177" s="12"/>
      <c r="L177" s="11">
        <f>ROUND(131959.59,2)</f>
        <v>131959.59</v>
      </c>
      <c r="M177" s="11">
        <f>ROUND(131429.59,2)</f>
        <v>131429.59</v>
      </c>
      <c r="N177" s="11">
        <f>ROUND(-129621.29,2)</f>
        <v>-129621.29</v>
      </c>
    </row>
    <row r="178" spans="1:14" ht="12.75" customHeight="1">
      <c r="A178" s="13" t="s">
        <v>136</v>
      </c>
      <c r="B178" s="13"/>
      <c r="C178" s="13"/>
      <c r="D178" s="14"/>
      <c r="E178" s="15">
        <f>ROUND(0,2)</f>
        <v>0</v>
      </c>
      <c r="F178" s="15">
        <f t="shared" si="92"/>
        <v>0</v>
      </c>
      <c r="G178" s="15">
        <f>ROUND(259621.29,2)</f>
        <v>259621.29</v>
      </c>
      <c r="H178" s="15">
        <f>ROUND(0,2)</f>
        <v>0</v>
      </c>
      <c r="I178" s="15"/>
      <c r="J178" s="15">
        <f>ROUND(131959.59,2)</f>
        <v>131959.59</v>
      </c>
      <c r="K178" s="15"/>
      <c r="L178" s="15">
        <f>ROUND(530,2)</f>
        <v>530</v>
      </c>
      <c r="M178" s="16">
        <v>199.7086846153846</v>
      </c>
      <c r="N178" s="16">
        <v>50.623579445275844</v>
      </c>
    </row>
    <row r="179" spans="1:14" ht="12.75" customHeight="1">
      <c r="A179" s="10" t="s">
        <v>137</v>
      </c>
      <c r="B179" s="10"/>
      <c r="C179" s="10"/>
      <c r="D179" s="11">
        <f>ROUND(10000,2)</f>
        <v>10000</v>
      </c>
      <c r="E179" s="11">
        <f>ROUND(10000,2)</f>
        <v>10000</v>
      </c>
      <c r="F179" s="11">
        <f t="shared" si="92"/>
        <v>0</v>
      </c>
      <c r="G179" s="11">
        <f>ROUND(239562.35,2)</f>
        <v>239562.35</v>
      </c>
      <c r="H179" s="12">
        <f>ROUND(11368.14,2)</f>
        <v>11368.14</v>
      </c>
      <c r="I179" s="12"/>
      <c r="J179" s="12">
        <f>ROUND(195148.83,2)</f>
        <v>195148.83</v>
      </c>
      <c r="K179" s="12"/>
      <c r="L179" s="11">
        <f>ROUND(31665.32,2)</f>
        <v>31665.32</v>
      </c>
      <c r="M179" s="11">
        <f>ROUND(31665.32,2)</f>
        <v>31665.32</v>
      </c>
      <c r="N179" s="11">
        <f>ROUND(-216814.15,2)</f>
        <v>-216814.15</v>
      </c>
    </row>
    <row r="180" spans="1:14" ht="12.75" customHeight="1">
      <c r="A180" s="13" t="s">
        <v>138</v>
      </c>
      <c r="B180" s="13"/>
      <c r="C180" s="13"/>
      <c r="D180" s="14"/>
      <c r="E180" s="15">
        <f>ROUND(0,2)</f>
        <v>0</v>
      </c>
      <c r="F180" s="15">
        <f t="shared" si="92"/>
        <v>0</v>
      </c>
      <c r="G180" s="15">
        <f>ROUND(226814.15,2)</f>
        <v>226814.15</v>
      </c>
      <c r="H180" s="15">
        <f>ROUND(1380.06,2)</f>
        <v>1380.06</v>
      </c>
      <c r="I180" s="15"/>
      <c r="J180" s="15">
        <f>ROUND(31665.32,2)</f>
        <v>31665.32</v>
      </c>
      <c r="K180" s="15"/>
      <c r="L180" s="15">
        <f>ROUND(0,2)</f>
        <v>0</v>
      </c>
      <c r="M180" s="16">
        <v>2268.1415</v>
      </c>
      <c r="N180" s="16">
        <v>13.960910287122738</v>
      </c>
    </row>
    <row r="181" spans="1:14" ht="12.75" customHeight="1">
      <c r="A181" s="17" t="s">
        <v>139</v>
      </c>
      <c r="B181" s="17"/>
      <c r="C181" s="17"/>
      <c r="D181" s="11">
        <f>ROUND(143000,2)</f>
        <v>143000</v>
      </c>
      <c r="E181" s="11">
        <f>ROUND(143000,2)</f>
        <v>143000</v>
      </c>
      <c r="F181" s="11">
        <f t="shared" si="92"/>
        <v>0</v>
      </c>
      <c r="G181" s="11">
        <f>ROUND(518100.9,2)</f>
        <v>518100.9</v>
      </c>
      <c r="H181" s="12">
        <f>ROUND(11648.14,2)</f>
        <v>11648.14</v>
      </c>
      <c r="I181" s="12"/>
      <c r="J181" s="12">
        <f>ROUND(336140.53,2)</f>
        <v>336140.53</v>
      </c>
      <c r="K181" s="12"/>
      <c r="L181" s="11">
        <f>ROUND(168932.17,2)</f>
        <v>168932.17</v>
      </c>
      <c r="M181" s="11">
        <f>ROUND(168402.17,2)</f>
        <v>168402.17</v>
      </c>
      <c r="N181" s="11">
        <f>ROUND(-361542.7,2)</f>
        <v>-361542.7</v>
      </c>
    </row>
    <row r="182" spans="1:14" ht="12.75" customHeight="1">
      <c r="A182" s="18"/>
      <c r="B182" s="18"/>
      <c r="C182" s="18"/>
      <c r="D182" s="19"/>
      <c r="E182" s="11">
        <f>ROUND(0,2)</f>
        <v>0</v>
      </c>
      <c r="F182" s="11">
        <f t="shared" si="92"/>
        <v>0</v>
      </c>
      <c r="G182" s="11">
        <f>ROUND(504542.7,2)</f>
        <v>504542.7</v>
      </c>
      <c r="H182" s="12">
        <f>ROUND(1380.06,2)</f>
        <v>1380.06</v>
      </c>
      <c r="I182" s="12"/>
      <c r="J182" s="12">
        <f>ROUND(168932.17,2)</f>
        <v>168932.17</v>
      </c>
      <c r="K182" s="12"/>
      <c r="L182" s="11">
        <f>ROUND(530,2)</f>
        <v>530</v>
      </c>
      <c r="M182" s="20">
        <v>352.8270629370629</v>
      </c>
      <c r="N182" s="20">
        <v>33.377188888076276</v>
      </c>
    </row>
    <row r="183" spans="1:14" ht="18" customHeight="1">
      <c r="A183" s="18"/>
      <c r="B183" s="18"/>
      <c r="C183" s="18"/>
      <c r="D183" s="19"/>
      <c r="E183" s="19"/>
      <c r="F183" s="19"/>
      <c r="G183" s="19"/>
      <c r="H183" s="18"/>
      <c r="I183" s="18"/>
      <c r="J183" s="18"/>
      <c r="K183" s="18"/>
      <c r="L183" s="19"/>
      <c r="M183" s="19"/>
      <c r="N183" s="19"/>
    </row>
    <row r="184" spans="1:14" ht="12.75" customHeight="1">
      <c r="A184" s="10" t="s">
        <v>140</v>
      </c>
      <c r="B184" s="10"/>
      <c r="C184" s="10"/>
      <c r="D184" s="11">
        <f>ROUND(30000,2)</f>
        <v>30000</v>
      </c>
      <c r="E184" s="11">
        <f>ROUND(30000,2)</f>
        <v>30000</v>
      </c>
      <c r="F184" s="11">
        <f aca="true" t="shared" si="95" ref="F184:F189">ROUND(0,2)</f>
        <v>0</v>
      </c>
      <c r="G184" s="11">
        <f>ROUND(80094.39,2)</f>
        <v>80094.39</v>
      </c>
      <c r="H184" s="12">
        <f aca="true" t="shared" si="96" ref="H184:H189">ROUND(0,2)</f>
        <v>0</v>
      </c>
      <c r="I184" s="12"/>
      <c r="J184" s="12">
        <f>ROUND(0.00000000000522959453519434,2)</f>
        <v>0</v>
      </c>
      <c r="K184" s="12"/>
      <c r="L184" s="11">
        <f>ROUND(80094.39,2)</f>
        <v>80094.39</v>
      </c>
      <c r="M184" s="11">
        <f>ROUND(78862.38,2)</f>
        <v>78862.38</v>
      </c>
      <c r="N184" s="11">
        <f>ROUND(-48862.38,2)</f>
        <v>-48862.38</v>
      </c>
    </row>
    <row r="185" spans="1:14" ht="12.75" customHeight="1">
      <c r="A185" s="13" t="s">
        <v>141</v>
      </c>
      <c r="B185" s="13"/>
      <c r="C185" s="13"/>
      <c r="D185" s="14"/>
      <c r="E185" s="15">
        <f>ROUND(0,2)</f>
        <v>0</v>
      </c>
      <c r="F185" s="15">
        <f t="shared" si="95"/>
        <v>0</v>
      </c>
      <c r="G185" s="15">
        <f>ROUND(78862.38,2)</f>
        <v>78862.38</v>
      </c>
      <c r="H185" s="15">
        <f t="shared" si="96"/>
        <v>0</v>
      </c>
      <c r="I185" s="15"/>
      <c r="J185" s="15">
        <f>ROUND(80094.39,2)</f>
        <v>80094.39</v>
      </c>
      <c r="K185" s="15"/>
      <c r="L185" s="15">
        <f>ROUND(1232.01,2)</f>
        <v>1232.01</v>
      </c>
      <c r="M185" s="16">
        <v>262.8746</v>
      </c>
      <c r="N185" s="16">
        <v>100</v>
      </c>
    </row>
    <row r="186" spans="1:14" ht="12.75" customHeight="1">
      <c r="A186" s="10" t="s">
        <v>142</v>
      </c>
      <c r="B186" s="10"/>
      <c r="C186" s="10"/>
      <c r="D186" s="11">
        <f>ROUND(150000,2)</f>
        <v>150000</v>
      </c>
      <c r="E186" s="11">
        <f>ROUND(150000,2)</f>
        <v>150000</v>
      </c>
      <c r="F186" s="11">
        <f t="shared" si="95"/>
        <v>0</v>
      </c>
      <c r="G186" s="11">
        <f>ROUND(166645.95,2)</f>
        <v>166645.95</v>
      </c>
      <c r="H186" s="12">
        <f t="shared" si="96"/>
        <v>0</v>
      </c>
      <c r="I186" s="12"/>
      <c r="J186" s="12">
        <f>ROUND(-0.0000000000136424205265939,2)</f>
        <v>0</v>
      </c>
      <c r="K186" s="12"/>
      <c r="L186" s="11">
        <f>ROUND(166645.95,2)</f>
        <v>166645.95</v>
      </c>
      <c r="M186" s="11">
        <f>ROUND(161231.56,2)</f>
        <v>161231.56</v>
      </c>
      <c r="N186" s="11">
        <f>ROUND(-11231.56,2)</f>
        <v>-11231.56</v>
      </c>
    </row>
    <row r="187" spans="1:14" ht="12.75" customHeight="1">
      <c r="A187" s="13" t="s">
        <v>143</v>
      </c>
      <c r="B187" s="13"/>
      <c r="C187" s="13"/>
      <c r="D187" s="14"/>
      <c r="E187" s="15">
        <f>ROUND(0,2)</f>
        <v>0</v>
      </c>
      <c r="F187" s="15">
        <f t="shared" si="95"/>
        <v>0</v>
      </c>
      <c r="G187" s="15">
        <f>ROUND(161231.56,2)</f>
        <v>161231.56</v>
      </c>
      <c r="H187" s="15">
        <f t="shared" si="96"/>
        <v>0</v>
      </c>
      <c r="I187" s="15"/>
      <c r="J187" s="15">
        <f>ROUND(166645.95,2)</f>
        <v>166645.95</v>
      </c>
      <c r="K187" s="15"/>
      <c r="L187" s="15">
        <f>ROUND(5414.39,2)</f>
        <v>5414.39</v>
      </c>
      <c r="M187" s="16">
        <v>107.48770666666667</v>
      </c>
      <c r="N187" s="16">
        <v>100</v>
      </c>
    </row>
    <row r="188" spans="1:14" ht="12.75" customHeight="1">
      <c r="A188" s="17" t="s">
        <v>144</v>
      </c>
      <c r="B188" s="17"/>
      <c r="C188" s="17"/>
      <c r="D188" s="11">
        <f>ROUND(180000,2)</f>
        <v>180000</v>
      </c>
      <c r="E188" s="11">
        <f>ROUND(180000,2)</f>
        <v>180000</v>
      </c>
      <c r="F188" s="11">
        <f t="shared" si="95"/>
        <v>0</v>
      </c>
      <c r="G188" s="11">
        <f>ROUND(246740.34,2)</f>
        <v>246740.34</v>
      </c>
      <c r="H188" s="12">
        <f t="shared" si="96"/>
        <v>0</v>
      </c>
      <c r="I188" s="12"/>
      <c r="J188" s="12">
        <f>ROUND(-0.00000000000841282599139959,2)</f>
        <v>0</v>
      </c>
      <c r="K188" s="12"/>
      <c r="L188" s="11">
        <f>ROUND(246740.34,2)</f>
        <v>246740.34</v>
      </c>
      <c r="M188" s="11">
        <f>ROUND(240093.94,2)</f>
        <v>240093.94</v>
      </c>
      <c r="N188" s="11">
        <f>ROUND(-60093.94,2)</f>
        <v>-60093.94</v>
      </c>
    </row>
    <row r="189" spans="1:14" ht="12.75" customHeight="1">
      <c r="A189" s="18"/>
      <c r="B189" s="18"/>
      <c r="C189" s="18"/>
      <c r="D189" s="19"/>
      <c r="E189" s="11">
        <f>ROUND(0,2)</f>
        <v>0</v>
      </c>
      <c r="F189" s="11">
        <f t="shared" si="95"/>
        <v>0</v>
      </c>
      <c r="G189" s="11">
        <f>ROUND(240093.94,2)</f>
        <v>240093.94</v>
      </c>
      <c r="H189" s="12">
        <f t="shared" si="96"/>
        <v>0</v>
      </c>
      <c r="I189" s="12"/>
      <c r="J189" s="12">
        <f>ROUND(246740.34,2)</f>
        <v>246740.34</v>
      </c>
      <c r="K189" s="12"/>
      <c r="L189" s="11">
        <f>ROUND(6646.4,2)</f>
        <v>6646.4</v>
      </c>
      <c r="M189" s="20">
        <v>133.38552222222222</v>
      </c>
      <c r="N189" s="20">
        <v>100</v>
      </c>
    </row>
    <row r="190" spans="1:14" ht="18" customHeight="1">
      <c r="A190" s="18"/>
      <c r="B190" s="18"/>
      <c r="C190" s="18"/>
      <c r="D190" s="19"/>
      <c r="E190" s="19"/>
      <c r="F190" s="19"/>
      <c r="G190" s="19"/>
      <c r="H190" s="18"/>
      <c r="I190" s="18"/>
      <c r="J190" s="18"/>
      <c r="K190" s="18"/>
      <c r="L190" s="19"/>
      <c r="M190" s="19"/>
      <c r="N190" s="19"/>
    </row>
    <row r="191" spans="1:14" ht="12.75" customHeight="1">
      <c r="A191" s="10" t="s">
        <v>145</v>
      </c>
      <c r="B191" s="10"/>
      <c r="C191" s="10"/>
      <c r="D191" s="11">
        <f>ROUND(60000,2)</f>
        <v>60000</v>
      </c>
      <c r="E191" s="11">
        <f>ROUND(60000,2)</f>
        <v>60000</v>
      </c>
      <c r="F191" s="11">
        <f aca="true" t="shared" si="97" ref="F191:F194">ROUND(0,2)</f>
        <v>0</v>
      </c>
      <c r="G191" s="11">
        <f>ROUND(127247.06,2)</f>
        <v>127247.06</v>
      </c>
      <c r="H191" s="12">
        <f aca="true" t="shared" si="98" ref="H191:H194">ROUND(0,2)</f>
        <v>0</v>
      </c>
      <c r="I191" s="12"/>
      <c r="J191" s="12">
        <f>ROUND(0,2)</f>
        <v>0</v>
      </c>
      <c r="K191" s="12"/>
      <c r="L191" s="11">
        <f>ROUND(127247.06,2)</f>
        <v>127247.06</v>
      </c>
      <c r="M191" s="11">
        <f>ROUND(125620.81,2)</f>
        <v>125620.81</v>
      </c>
      <c r="N191" s="11">
        <f>ROUND(-65620.81,2)</f>
        <v>-65620.81</v>
      </c>
    </row>
    <row r="192" spans="1:14" ht="12.75" customHeight="1">
      <c r="A192" s="13" t="s">
        <v>146</v>
      </c>
      <c r="B192" s="13"/>
      <c r="C192" s="13"/>
      <c r="D192" s="14"/>
      <c r="E192" s="15">
        <f>ROUND(0,2)</f>
        <v>0</v>
      </c>
      <c r="F192" s="15">
        <f t="shared" si="97"/>
        <v>0</v>
      </c>
      <c r="G192" s="15">
        <f>ROUND(125620.81,2)</f>
        <v>125620.81</v>
      </c>
      <c r="H192" s="15">
        <f t="shared" si="98"/>
        <v>0</v>
      </c>
      <c r="I192" s="15"/>
      <c r="J192" s="15">
        <f>ROUND(127247.06,2)</f>
        <v>127247.06</v>
      </c>
      <c r="K192" s="15"/>
      <c r="L192" s="15">
        <f>ROUND(1626.25,2)</f>
        <v>1626.25</v>
      </c>
      <c r="M192" s="16">
        <v>209.36801666666668</v>
      </c>
      <c r="N192" s="16">
        <v>100</v>
      </c>
    </row>
    <row r="193" spans="1:14" ht="12.75" customHeight="1">
      <c r="A193" s="17" t="s">
        <v>147</v>
      </c>
      <c r="B193" s="17"/>
      <c r="C193" s="17"/>
      <c r="D193" s="11">
        <f>ROUND(60000,2)</f>
        <v>60000</v>
      </c>
      <c r="E193" s="11">
        <f>ROUND(60000,2)</f>
        <v>60000</v>
      </c>
      <c r="F193" s="11">
        <f t="shared" si="97"/>
        <v>0</v>
      </c>
      <c r="G193" s="11">
        <f>ROUND(127247.06,2)</f>
        <v>127247.06</v>
      </c>
      <c r="H193" s="12">
        <f t="shared" si="98"/>
        <v>0</v>
      </c>
      <c r="I193" s="12"/>
      <c r="J193" s="12">
        <f>ROUND(0,2)</f>
        <v>0</v>
      </c>
      <c r="K193" s="12"/>
      <c r="L193" s="11">
        <f>ROUND(127247.06,2)</f>
        <v>127247.06</v>
      </c>
      <c r="M193" s="11">
        <f>ROUND(125620.81,2)</f>
        <v>125620.81</v>
      </c>
      <c r="N193" s="11">
        <f>ROUND(-65620.81,2)</f>
        <v>-65620.81</v>
      </c>
    </row>
    <row r="194" spans="1:14" ht="12.75" customHeight="1">
      <c r="A194" s="18"/>
      <c r="B194" s="18"/>
      <c r="C194" s="18"/>
      <c r="D194" s="19"/>
      <c r="E194" s="11">
        <f>ROUND(0,2)</f>
        <v>0</v>
      </c>
      <c r="F194" s="11">
        <f t="shared" si="97"/>
        <v>0</v>
      </c>
      <c r="G194" s="11">
        <f>ROUND(125620.81,2)</f>
        <v>125620.81</v>
      </c>
      <c r="H194" s="12">
        <f t="shared" si="98"/>
        <v>0</v>
      </c>
      <c r="I194" s="12"/>
      <c r="J194" s="12">
        <f>ROUND(127247.06,2)</f>
        <v>127247.06</v>
      </c>
      <c r="K194" s="12"/>
      <c r="L194" s="11">
        <f>ROUND(1626.25,2)</f>
        <v>1626.25</v>
      </c>
      <c r="M194" s="20">
        <v>209.36801666666668</v>
      </c>
      <c r="N194" s="20">
        <v>100</v>
      </c>
    </row>
    <row r="195" spans="1:14" ht="18" customHeight="1">
      <c r="A195" s="18"/>
      <c r="B195" s="18"/>
      <c r="C195" s="18"/>
      <c r="D195" s="19"/>
      <c r="E195" s="19"/>
      <c r="F195" s="19"/>
      <c r="G195" s="19"/>
      <c r="H195" s="18"/>
      <c r="I195" s="18"/>
      <c r="J195" s="18"/>
      <c r="K195" s="18"/>
      <c r="L195" s="19"/>
      <c r="M195" s="19"/>
      <c r="N195" s="19"/>
    </row>
    <row r="196" spans="1:14" ht="12.75" customHeight="1">
      <c r="A196" s="10" t="s">
        <v>148</v>
      </c>
      <c r="B196" s="10"/>
      <c r="C196" s="10"/>
      <c r="D196" s="11">
        <f>ROUND(0,2)</f>
        <v>0</v>
      </c>
      <c r="E196" s="11">
        <f aca="true" t="shared" si="99" ref="E196:E199">ROUND(0,2)</f>
        <v>0</v>
      </c>
      <c r="F196" s="11">
        <f aca="true" t="shared" si="100" ref="F196:F199">ROUND(0,2)</f>
        <v>0</v>
      </c>
      <c r="G196" s="11">
        <f aca="true" t="shared" si="101" ref="G196:G199">ROUND(19244.18,2)</f>
        <v>19244.18</v>
      </c>
      <c r="H196" s="12">
        <f aca="true" t="shared" si="102" ref="H196:H199">ROUND(0,2)</f>
        <v>0</v>
      </c>
      <c r="I196" s="12"/>
      <c r="J196" s="12">
        <f>ROUND(0,2)</f>
        <v>0</v>
      </c>
      <c r="K196" s="12"/>
      <c r="L196" s="11">
        <f>ROUND(19244.18,2)</f>
        <v>19244.18</v>
      </c>
      <c r="M196" s="11">
        <f>ROUND(19244.18,2)</f>
        <v>19244.18</v>
      </c>
      <c r="N196" s="11">
        <f>ROUND(-19244.18,2)</f>
        <v>-19244.18</v>
      </c>
    </row>
    <row r="197" spans="1:14" ht="12.75" customHeight="1">
      <c r="A197" s="13" t="s">
        <v>149</v>
      </c>
      <c r="B197" s="13"/>
      <c r="C197" s="13"/>
      <c r="D197" s="14"/>
      <c r="E197" s="15">
        <f t="shared" si="99"/>
        <v>0</v>
      </c>
      <c r="F197" s="15">
        <f t="shared" si="100"/>
        <v>0</v>
      </c>
      <c r="G197" s="15">
        <f t="shared" si="101"/>
        <v>19244.18</v>
      </c>
      <c r="H197" s="15">
        <f t="shared" si="102"/>
        <v>0</v>
      </c>
      <c r="I197" s="15"/>
      <c r="J197" s="15">
        <f>ROUND(19244.18,2)</f>
        <v>19244.18</v>
      </c>
      <c r="K197" s="15"/>
      <c r="L197" s="15">
        <f>ROUND(0,2)</f>
        <v>0</v>
      </c>
      <c r="M197" s="16">
        <v>0</v>
      </c>
      <c r="N197" s="16">
        <v>100</v>
      </c>
    </row>
    <row r="198" spans="1:14" ht="12.75" customHeight="1">
      <c r="A198" s="17" t="s">
        <v>150</v>
      </c>
      <c r="B198" s="17"/>
      <c r="C198" s="17"/>
      <c r="D198" s="11">
        <f>ROUND(0,2)</f>
        <v>0</v>
      </c>
      <c r="E198" s="11">
        <f t="shared" si="99"/>
        <v>0</v>
      </c>
      <c r="F198" s="11">
        <f t="shared" si="100"/>
        <v>0</v>
      </c>
      <c r="G198" s="11">
        <f t="shared" si="101"/>
        <v>19244.18</v>
      </c>
      <c r="H198" s="12">
        <f t="shared" si="102"/>
        <v>0</v>
      </c>
      <c r="I198" s="12"/>
      <c r="J198" s="12">
        <f>ROUND(0,2)</f>
        <v>0</v>
      </c>
      <c r="K198" s="12"/>
      <c r="L198" s="11">
        <f>ROUND(19244.18,2)</f>
        <v>19244.18</v>
      </c>
      <c r="M198" s="11">
        <f>ROUND(19244.18,2)</f>
        <v>19244.18</v>
      </c>
      <c r="N198" s="11">
        <f>ROUND(-19244.18,2)</f>
        <v>-19244.18</v>
      </c>
    </row>
    <row r="199" spans="1:14" ht="12.75" customHeight="1">
      <c r="A199" s="18"/>
      <c r="B199" s="18"/>
      <c r="C199" s="18"/>
      <c r="D199" s="19"/>
      <c r="E199" s="11">
        <f t="shared" si="99"/>
        <v>0</v>
      </c>
      <c r="F199" s="11">
        <f t="shared" si="100"/>
        <v>0</v>
      </c>
      <c r="G199" s="11">
        <f t="shared" si="101"/>
        <v>19244.18</v>
      </c>
      <c r="H199" s="12">
        <f t="shared" si="102"/>
        <v>0</v>
      </c>
      <c r="I199" s="12"/>
      <c r="J199" s="12">
        <f>ROUND(19244.18,2)</f>
        <v>19244.18</v>
      </c>
      <c r="K199" s="12"/>
      <c r="L199" s="11">
        <f>ROUND(0,2)</f>
        <v>0</v>
      </c>
      <c r="M199" s="20">
        <v>0</v>
      </c>
      <c r="N199" s="20">
        <v>100</v>
      </c>
    </row>
    <row r="200" spans="1:14" ht="18" customHeight="1">
      <c r="A200" s="18"/>
      <c r="B200" s="18"/>
      <c r="C200" s="18"/>
      <c r="D200" s="19"/>
      <c r="E200" s="19"/>
      <c r="F200" s="19"/>
      <c r="G200" s="19"/>
      <c r="H200" s="18"/>
      <c r="I200" s="18"/>
      <c r="J200" s="18"/>
      <c r="K200" s="18"/>
      <c r="L200" s="19"/>
      <c r="M200" s="19"/>
      <c r="N200" s="19"/>
    </row>
    <row r="201" spans="1:14" ht="12.75" customHeight="1">
      <c r="A201" s="10" t="s">
        <v>151</v>
      </c>
      <c r="B201" s="10"/>
      <c r="C201" s="10"/>
      <c r="D201" s="11">
        <f>ROUND(1000,2)</f>
        <v>1000</v>
      </c>
      <c r="E201" s="11">
        <f>ROUND(1000,2)</f>
        <v>1000</v>
      </c>
      <c r="F201" s="11">
        <f aca="true" t="shared" si="103" ref="F201:F206">ROUND(0,2)</f>
        <v>0</v>
      </c>
      <c r="G201" s="11">
        <f aca="true" t="shared" si="104" ref="G201:G202">ROUND(794.2,2)</f>
        <v>794.2</v>
      </c>
      <c r="H201" s="12">
        <f aca="true" t="shared" si="105" ref="H201:H206">ROUND(0,2)</f>
        <v>0</v>
      </c>
      <c r="I201" s="12"/>
      <c r="J201" s="12">
        <f>ROUND(0,2)</f>
        <v>0</v>
      </c>
      <c r="K201" s="12"/>
      <c r="L201" s="11">
        <f>ROUND(794.2,2)</f>
        <v>794.2</v>
      </c>
      <c r="M201" s="11">
        <f>ROUND(794.2,2)</f>
        <v>794.2</v>
      </c>
      <c r="N201" s="11">
        <f>ROUND(205.8,2)</f>
        <v>205.8</v>
      </c>
    </row>
    <row r="202" spans="1:14" ht="12.75" customHeight="1">
      <c r="A202" s="13" t="s">
        <v>152</v>
      </c>
      <c r="B202" s="13"/>
      <c r="C202" s="13"/>
      <c r="D202" s="14"/>
      <c r="E202" s="15">
        <f>ROUND(0,2)</f>
        <v>0</v>
      </c>
      <c r="F202" s="15">
        <f t="shared" si="103"/>
        <v>0</v>
      </c>
      <c r="G202" s="15">
        <f t="shared" si="104"/>
        <v>794.2</v>
      </c>
      <c r="H202" s="15">
        <f t="shared" si="105"/>
        <v>0</v>
      </c>
      <c r="I202" s="15"/>
      <c r="J202" s="15">
        <f>ROUND(794.2,2)</f>
        <v>794.2</v>
      </c>
      <c r="K202" s="15"/>
      <c r="L202" s="15">
        <f aca="true" t="shared" si="106" ref="L202:L204">ROUND(0,2)</f>
        <v>0</v>
      </c>
      <c r="M202" s="16">
        <v>79.42</v>
      </c>
      <c r="N202" s="16">
        <v>100</v>
      </c>
    </row>
    <row r="203" spans="1:14" ht="12.75" customHeight="1">
      <c r="A203" s="10" t="s">
        <v>153</v>
      </c>
      <c r="B203" s="10"/>
      <c r="C203" s="10"/>
      <c r="D203" s="11">
        <f>ROUND(100,2)</f>
        <v>100</v>
      </c>
      <c r="E203" s="11">
        <f>ROUND(100,2)</f>
        <v>100</v>
      </c>
      <c r="F203" s="11">
        <f t="shared" si="103"/>
        <v>0</v>
      </c>
      <c r="G203" s="11">
        <f aca="true" t="shared" si="107" ref="G203:G204">ROUND(0,2)</f>
        <v>0</v>
      </c>
      <c r="H203" s="12">
        <f t="shared" si="105"/>
        <v>0</v>
      </c>
      <c r="I203" s="12"/>
      <c r="J203" s="12">
        <f aca="true" t="shared" si="108" ref="J203:J205">ROUND(0,2)</f>
        <v>0</v>
      </c>
      <c r="K203" s="12"/>
      <c r="L203" s="11">
        <f t="shared" si="106"/>
        <v>0</v>
      </c>
      <c r="M203" s="11">
        <f>ROUND(0,2)</f>
        <v>0</v>
      </c>
      <c r="N203" s="11">
        <f>ROUND(100,2)</f>
        <v>100</v>
      </c>
    </row>
    <row r="204" spans="1:14" ht="12.75" customHeight="1">
      <c r="A204" s="13" t="s">
        <v>154</v>
      </c>
      <c r="B204" s="13"/>
      <c r="C204" s="13"/>
      <c r="D204" s="14"/>
      <c r="E204" s="15">
        <f>ROUND(0,2)</f>
        <v>0</v>
      </c>
      <c r="F204" s="15">
        <f t="shared" si="103"/>
        <v>0</v>
      </c>
      <c r="G204" s="15">
        <f t="shared" si="107"/>
        <v>0</v>
      </c>
      <c r="H204" s="15">
        <f t="shared" si="105"/>
        <v>0</v>
      </c>
      <c r="I204" s="15"/>
      <c r="J204" s="15">
        <f t="shared" si="108"/>
        <v>0</v>
      </c>
      <c r="K204" s="15"/>
      <c r="L204" s="15">
        <f t="shared" si="106"/>
        <v>0</v>
      </c>
      <c r="M204" s="16">
        <v>0</v>
      </c>
      <c r="N204" s="16">
        <v>0</v>
      </c>
    </row>
    <row r="205" spans="1:14" ht="12.75" customHeight="1">
      <c r="A205" s="17" t="s">
        <v>155</v>
      </c>
      <c r="B205" s="17"/>
      <c r="C205" s="17"/>
      <c r="D205" s="11">
        <f>ROUND(1100,2)</f>
        <v>1100</v>
      </c>
      <c r="E205" s="11">
        <f>ROUND(1100,2)</f>
        <v>1100</v>
      </c>
      <c r="F205" s="11">
        <f t="shared" si="103"/>
        <v>0</v>
      </c>
      <c r="G205" s="11">
        <f aca="true" t="shared" si="109" ref="G205:G206">ROUND(794.2,2)</f>
        <v>794.2</v>
      </c>
      <c r="H205" s="12">
        <f t="shared" si="105"/>
        <v>0</v>
      </c>
      <c r="I205" s="12"/>
      <c r="J205" s="12">
        <f t="shared" si="108"/>
        <v>0</v>
      </c>
      <c r="K205" s="12"/>
      <c r="L205" s="11">
        <f>ROUND(794.2,2)</f>
        <v>794.2</v>
      </c>
      <c r="M205" s="11">
        <f>ROUND(794.2,2)</f>
        <v>794.2</v>
      </c>
      <c r="N205" s="11">
        <f>ROUND(305.8,2)</f>
        <v>305.8</v>
      </c>
    </row>
    <row r="206" spans="1:14" ht="12.75" customHeight="1">
      <c r="A206" s="18"/>
      <c r="B206" s="18"/>
      <c r="C206" s="18"/>
      <c r="D206" s="19"/>
      <c r="E206" s="11">
        <f>ROUND(0,2)</f>
        <v>0</v>
      </c>
      <c r="F206" s="11">
        <f t="shared" si="103"/>
        <v>0</v>
      </c>
      <c r="G206" s="11">
        <f t="shared" si="109"/>
        <v>794.2</v>
      </c>
      <c r="H206" s="12">
        <f t="shared" si="105"/>
        <v>0</v>
      </c>
      <c r="I206" s="12"/>
      <c r="J206" s="12">
        <f>ROUND(794.2,2)</f>
        <v>794.2</v>
      </c>
      <c r="K206" s="12"/>
      <c r="L206" s="11">
        <f>ROUND(0,2)</f>
        <v>0</v>
      </c>
      <c r="M206" s="20">
        <v>72.2</v>
      </c>
      <c r="N206" s="20">
        <v>100</v>
      </c>
    </row>
    <row r="207" spans="1:14" ht="18" customHeight="1">
      <c r="A207" s="18"/>
      <c r="B207" s="18"/>
      <c r="C207" s="18"/>
      <c r="D207" s="19"/>
      <c r="E207" s="19"/>
      <c r="F207" s="19"/>
      <c r="G207" s="19"/>
      <c r="H207" s="18"/>
      <c r="I207" s="18"/>
      <c r="J207" s="18"/>
      <c r="K207" s="18"/>
      <c r="L207" s="19"/>
      <c r="M207" s="19"/>
      <c r="N207" s="19"/>
    </row>
    <row r="208" spans="1:14" ht="12.75" customHeight="1">
      <c r="A208" s="10" t="s">
        <v>156</v>
      </c>
      <c r="B208" s="10"/>
      <c r="C208" s="10"/>
      <c r="D208" s="11">
        <f>ROUND(10459380.28,2)</f>
        <v>10459380.28</v>
      </c>
      <c r="E208" s="11">
        <f>ROUND(10459380.28,2)</f>
        <v>10459380.28</v>
      </c>
      <c r="F208" s="11">
        <f aca="true" t="shared" si="110" ref="F208:F215">ROUND(0,2)</f>
        <v>0</v>
      </c>
      <c r="G208" s="11">
        <f aca="true" t="shared" si="111" ref="G208:G209">ROUND(12686186.48,2)</f>
        <v>12686186.48</v>
      </c>
      <c r="H208" s="12">
        <f aca="true" t="shared" si="112" ref="H208:H215">ROUND(0,2)</f>
        <v>0</v>
      </c>
      <c r="I208" s="12"/>
      <c r="J208" s="12">
        <f>ROUND(0,2)</f>
        <v>0</v>
      </c>
      <c r="K208" s="12"/>
      <c r="L208" s="11">
        <f>ROUND(12686186.48,2)</f>
        <v>12686186.48</v>
      </c>
      <c r="M208" s="11">
        <f>ROUND(12686186.48,2)</f>
        <v>12686186.48</v>
      </c>
      <c r="N208" s="11">
        <f>ROUND(-2226806.2,2)</f>
        <v>-2226806.2</v>
      </c>
    </row>
    <row r="209" spans="1:14" ht="12.75" customHeight="1">
      <c r="A209" s="13" t="s">
        <v>157</v>
      </c>
      <c r="B209" s="13"/>
      <c r="C209" s="13"/>
      <c r="D209" s="14"/>
      <c r="E209" s="15">
        <f>ROUND(0,2)</f>
        <v>0</v>
      </c>
      <c r="F209" s="15">
        <f t="shared" si="110"/>
        <v>0</v>
      </c>
      <c r="G209" s="15">
        <f t="shared" si="111"/>
        <v>12686186.48</v>
      </c>
      <c r="H209" s="15">
        <f t="shared" si="112"/>
        <v>0</v>
      </c>
      <c r="I209" s="15"/>
      <c r="J209" s="15">
        <f>ROUND(12686186.48,2)</f>
        <v>12686186.48</v>
      </c>
      <c r="K209" s="15"/>
      <c r="L209" s="15">
        <f>ROUND(0,2)</f>
        <v>0</v>
      </c>
      <c r="M209" s="16">
        <v>121.29003956628299</v>
      </c>
      <c r="N209" s="16">
        <v>100</v>
      </c>
    </row>
    <row r="210" spans="1:14" ht="12.75" customHeight="1">
      <c r="A210" s="10" t="s">
        <v>158</v>
      </c>
      <c r="B210" s="10"/>
      <c r="C210" s="10"/>
      <c r="D210" s="11">
        <f>ROUND(239000,2)</f>
        <v>239000</v>
      </c>
      <c r="E210" s="11">
        <f>ROUND(239000,2)</f>
        <v>239000</v>
      </c>
      <c r="F210" s="11">
        <f t="shared" si="110"/>
        <v>0</v>
      </c>
      <c r="G210" s="11">
        <f aca="true" t="shared" si="113" ref="G210:G211">ROUND(263396.28,2)</f>
        <v>263396.28</v>
      </c>
      <c r="H210" s="12">
        <f t="shared" si="112"/>
        <v>0</v>
      </c>
      <c r="I210" s="12"/>
      <c r="J210" s="12">
        <f>ROUND(0,2)</f>
        <v>0</v>
      </c>
      <c r="K210" s="12"/>
      <c r="L210" s="11">
        <f>ROUND(263396.28,2)</f>
        <v>263396.28</v>
      </c>
      <c r="M210" s="11">
        <f>ROUND(263396.28,2)</f>
        <v>263396.28</v>
      </c>
      <c r="N210" s="11">
        <f>ROUND(-24396.28,2)</f>
        <v>-24396.28</v>
      </c>
    </row>
    <row r="211" spans="1:14" ht="12.75" customHeight="1">
      <c r="A211" s="13" t="s">
        <v>159</v>
      </c>
      <c r="B211" s="13"/>
      <c r="C211" s="13"/>
      <c r="D211" s="14"/>
      <c r="E211" s="15">
        <f aca="true" t="shared" si="114" ref="E211:E213">ROUND(0,2)</f>
        <v>0</v>
      </c>
      <c r="F211" s="15">
        <f t="shared" si="110"/>
        <v>0</v>
      </c>
      <c r="G211" s="15">
        <f t="shared" si="113"/>
        <v>263396.28</v>
      </c>
      <c r="H211" s="15">
        <f t="shared" si="112"/>
        <v>0</v>
      </c>
      <c r="I211" s="15"/>
      <c r="J211" s="15">
        <f>ROUND(263396.28,2)</f>
        <v>263396.28</v>
      </c>
      <c r="K211" s="15"/>
      <c r="L211" s="15">
        <f>ROUND(0,2)</f>
        <v>0</v>
      </c>
      <c r="M211" s="16">
        <v>110.20764853556486</v>
      </c>
      <c r="N211" s="16">
        <v>100</v>
      </c>
    </row>
    <row r="212" spans="1:14" ht="12.75" customHeight="1">
      <c r="A212" s="10" t="s">
        <v>160</v>
      </c>
      <c r="B212" s="10"/>
      <c r="C212" s="10"/>
      <c r="D212" s="11">
        <f>ROUND(0,2)</f>
        <v>0</v>
      </c>
      <c r="E212" s="11">
        <f t="shared" si="114"/>
        <v>0</v>
      </c>
      <c r="F212" s="11">
        <f t="shared" si="110"/>
        <v>0</v>
      </c>
      <c r="G212" s="11">
        <f aca="true" t="shared" si="115" ref="G212:G213">ROUND(31869.27,2)</f>
        <v>31869.27</v>
      </c>
      <c r="H212" s="12">
        <f t="shared" si="112"/>
        <v>0</v>
      </c>
      <c r="I212" s="12"/>
      <c r="J212" s="12">
        <f>ROUND(0,2)</f>
        <v>0</v>
      </c>
      <c r="K212" s="12"/>
      <c r="L212" s="11">
        <f>ROUND(31869.27,2)</f>
        <v>31869.27</v>
      </c>
      <c r="M212" s="11">
        <f>ROUND(31869.27,2)</f>
        <v>31869.27</v>
      </c>
      <c r="N212" s="11">
        <f>ROUND(-31869.27,2)</f>
        <v>-31869.27</v>
      </c>
    </row>
    <row r="213" spans="1:14" ht="12.75" customHeight="1">
      <c r="A213" s="13" t="s">
        <v>161</v>
      </c>
      <c r="B213" s="13"/>
      <c r="C213" s="13"/>
      <c r="D213" s="14"/>
      <c r="E213" s="15">
        <f t="shared" si="114"/>
        <v>0</v>
      </c>
      <c r="F213" s="15">
        <f t="shared" si="110"/>
        <v>0</v>
      </c>
      <c r="G213" s="15">
        <f t="shared" si="115"/>
        <v>31869.27</v>
      </c>
      <c r="H213" s="15">
        <f t="shared" si="112"/>
        <v>0</v>
      </c>
      <c r="I213" s="15"/>
      <c r="J213" s="15">
        <f>ROUND(31869.27,2)</f>
        <v>31869.27</v>
      </c>
      <c r="K213" s="15"/>
      <c r="L213" s="15">
        <f>ROUND(0,2)</f>
        <v>0</v>
      </c>
      <c r="M213" s="16">
        <v>0</v>
      </c>
      <c r="N213" s="16">
        <v>100</v>
      </c>
    </row>
    <row r="214" spans="1:14" ht="12.75" customHeight="1">
      <c r="A214" s="17" t="s">
        <v>162</v>
      </c>
      <c r="B214" s="17"/>
      <c r="C214" s="17"/>
      <c r="D214" s="11">
        <f>ROUND(10698380.28,2)</f>
        <v>10698380.28</v>
      </c>
      <c r="E214" s="11">
        <f>ROUND(10698380.28,2)</f>
        <v>10698380.28</v>
      </c>
      <c r="F214" s="11">
        <f t="shared" si="110"/>
        <v>0</v>
      </c>
      <c r="G214" s="11">
        <f aca="true" t="shared" si="116" ref="G214:G215">ROUND(12981452.03,2)</f>
        <v>12981452.03</v>
      </c>
      <c r="H214" s="12">
        <f t="shared" si="112"/>
        <v>0</v>
      </c>
      <c r="I214" s="12"/>
      <c r="J214" s="12">
        <f>ROUND(0,2)</f>
        <v>0</v>
      </c>
      <c r="K214" s="12"/>
      <c r="L214" s="11">
        <f>ROUND(12981452.03,2)</f>
        <v>12981452.03</v>
      </c>
      <c r="M214" s="11">
        <f>ROUND(12981452.03,2)</f>
        <v>12981452.03</v>
      </c>
      <c r="N214" s="11">
        <f>ROUND(-2283071.75,2)</f>
        <v>-2283071.75</v>
      </c>
    </row>
    <row r="215" spans="1:14" ht="12.75" customHeight="1">
      <c r="A215" s="18"/>
      <c r="B215" s="18"/>
      <c r="C215" s="18"/>
      <c r="D215" s="19"/>
      <c r="E215" s="11">
        <f>ROUND(0,2)</f>
        <v>0</v>
      </c>
      <c r="F215" s="11">
        <f t="shared" si="110"/>
        <v>0</v>
      </c>
      <c r="G215" s="11">
        <f t="shared" si="116"/>
        <v>12981452.03</v>
      </c>
      <c r="H215" s="12">
        <f t="shared" si="112"/>
        <v>0</v>
      </c>
      <c r="I215" s="12"/>
      <c r="J215" s="12">
        <f>ROUND(12981452.03,2)</f>
        <v>12981452.03</v>
      </c>
      <c r="K215" s="12"/>
      <c r="L215" s="11">
        <f>ROUND(0,2)</f>
        <v>0</v>
      </c>
      <c r="M215" s="20">
        <v>121.34034956925275</v>
      </c>
      <c r="N215" s="20">
        <v>100</v>
      </c>
    </row>
    <row r="216" spans="1:14" ht="18" customHeight="1">
      <c r="A216" s="18"/>
      <c r="B216" s="18"/>
      <c r="C216" s="18"/>
      <c r="D216" s="19"/>
      <c r="E216" s="19"/>
      <c r="F216" s="19"/>
      <c r="G216" s="19"/>
      <c r="H216" s="18"/>
      <c r="I216" s="18"/>
      <c r="J216" s="18"/>
      <c r="K216" s="18"/>
      <c r="L216" s="19"/>
      <c r="M216" s="19"/>
      <c r="N216" s="19"/>
    </row>
    <row r="217" spans="1:14" ht="12.75" customHeight="1">
      <c r="A217" s="10" t="s">
        <v>163</v>
      </c>
      <c r="B217" s="10"/>
      <c r="C217" s="10"/>
      <c r="D217" s="11">
        <f>ROUND(0,2)</f>
        <v>0</v>
      </c>
      <c r="E217" s="11">
        <f aca="true" t="shared" si="117" ref="E217:E218">ROUND(138011.73,2)</f>
        <v>138011.73</v>
      </c>
      <c r="F217" s="11">
        <f aca="true" t="shared" si="118" ref="F217:F222">ROUND(0,2)</f>
        <v>0</v>
      </c>
      <c r="G217" s="11">
        <f>ROUND(138011.73,2)</f>
        <v>138011.73</v>
      </c>
      <c r="H217" s="12">
        <f aca="true" t="shared" si="119" ref="H217:H222">ROUND(0,2)</f>
        <v>0</v>
      </c>
      <c r="I217" s="12"/>
      <c r="J217" s="12">
        <f>ROUND(138011.73,2)</f>
        <v>138011.73</v>
      </c>
      <c r="K217" s="12"/>
      <c r="L217" s="11">
        <f>ROUND(0,2)</f>
        <v>0</v>
      </c>
      <c r="M217" s="11">
        <f>ROUND(-4709.55,2)</f>
        <v>-4709.55</v>
      </c>
      <c r="N217" s="11">
        <f>ROUND(4709.54999999999,2)</f>
        <v>4709.55</v>
      </c>
    </row>
    <row r="218" spans="1:14" ht="12.75" customHeight="1">
      <c r="A218" s="13" t="s">
        <v>164</v>
      </c>
      <c r="B218" s="13"/>
      <c r="C218" s="13"/>
      <c r="D218" s="14"/>
      <c r="E218" s="15">
        <f t="shared" si="117"/>
        <v>138011.73</v>
      </c>
      <c r="F218" s="15">
        <f t="shared" si="118"/>
        <v>0</v>
      </c>
      <c r="G218" s="15">
        <f>ROUND(133302.18,2)</f>
        <v>133302.18</v>
      </c>
      <c r="H218" s="15">
        <f t="shared" si="119"/>
        <v>0</v>
      </c>
      <c r="I218" s="15"/>
      <c r="J218" s="15">
        <f aca="true" t="shared" si="120" ref="J218:J219">ROUND(0,2)</f>
        <v>0</v>
      </c>
      <c r="K218" s="15"/>
      <c r="L218" s="15">
        <f>ROUND(4709.55,2)</f>
        <v>4709.55</v>
      </c>
      <c r="M218" s="16">
        <v>96.58757266501914</v>
      </c>
      <c r="N218" s="16">
        <v>-3.532987982642144</v>
      </c>
    </row>
    <row r="219" spans="1:14" ht="12.75" customHeight="1">
      <c r="A219" s="10" t="s">
        <v>165</v>
      </c>
      <c r="B219" s="10"/>
      <c r="C219" s="10"/>
      <c r="D219" s="11">
        <f>ROUND(0,2)</f>
        <v>0</v>
      </c>
      <c r="E219" s="11">
        <f aca="true" t="shared" si="121" ref="E219:E220">ROUND(0,2)</f>
        <v>0</v>
      </c>
      <c r="F219" s="11">
        <f t="shared" si="118"/>
        <v>0</v>
      </c>
      <c r="G219" s="11">
        <f aca="true" t="shared" si="122" ref="G219:G220">ROUND(690.13,2)</f>
        <v>690.13</v>
      </c>
      <c r="H219" s="12">
        <f t="shared" si="119"/>
        <v>0</v>
      </c>
      <c r="I219" s="12"/>
      <c r="J219" s="12">
        <f t="shared" si="120"/>
        <v>0</v>
      </c>
      <c r="K219" s="12"/>
      <c r="L219" s="11">
        <f>ROUND(690.13,2)</f>
        <v>690.13</v>
      </c>
      <c r="M219" s="11">
        <f>ROUND(690.13,2)</f>
        <v>690.13</v>
      </c>
      <c r="N219" s="11">
        <f>ROUND(-690.13,2)</f>
        <v>-690.13</v>
      </c>
    </row>
    <row r="220" spans="1:14" ht="12.75" customHeight="1">
      <c r="A220" s="13" t="s">
        <v>164</v>
      </c>
      <c r="B220" s="13"/>
      <c r="C220" s="13"/>
      <c r="D220" s="14"/>
      <c r="E220" s="15">
        <f t="shared" si="121"/>
        <v>0</v>
      </c>
      <c r="F220" s="15">
        <f t="shared" si="118"/>
        <v>0</v>
      </c>
      <c r="G220" s="15">
        <f t="shared" si="122"/>
        <v>690.13</v>
      </c>
      <c r="H220" s="15">
        <f t="shared" si="119"/>
        <v>0</v>
      </c>
      <c r="I220" s="15"/>
      <c r="J220" s="15">
        <f>ROUND(690.13,2)</f>
        <v>690.13</v>
      </c>
      <c r="K220" s="15"/>
      <c r="L220" s="15">
        <f>ROUND(0,2)</f>
        <v>0</v>
      </c>
      <c r="M220" s="16">
        <v>0</v>
      </c>
      <c r="N220" s="16">
        <v>100</v>
      </c>
    </row>
    <row r="221" spans="1:14" ht="12.75" customHeight="1">
      <c r="A221" s="17" t="s">
        <v>166</v>
      </c>
      <c r="B221" s="17"/>
      <c r="C221" s="17"/>
      <c r="D221" s="11">
        <f>ROUND(0,2)</f>
        <v>0</v>
      </c>
      <c r="E221" s="11">
        <f aca="true" t="shared" si="123" ref="E221:E222">ROUND(138011.73,2)</f>
        <v>138011.73</v>
      </c>
      <c r="F221" s="11">
        <f t="shared" si="118"/>
        <v>0</v>
      </c>
      <c r="G221" s="11">
        <f>ROUND(138701.86,2)</f>
        <v>138701.86</v>
      </c>
      <c r="H221" s="12">
        <f t="shared" si="119"/>
        <v>0</v>
      </c>
      <c r="I221" s="12"/>
      <c r="J221" s="12">
        <f>ROUND(138011.73,2)</f>
        <v>138011.73</v>
      </c>
      <c r="K221" s="12"/>
      <c r="L221" s="11">
        <f>ROUND(690.13,2)</f>
        <v>690.13</v>
      </c>
      <c r="M221" s="11">
        <f>ROUND(-4019.42,2)</f>
        <v>-4019.42</v>
      </c>
      <c r="N221" s="11">
        <f>ROUND(4019.41999999999,2)</f>
        <v>4019.42</v>
      </c>
    </row>
    <row r="222" spans="1:14" ht="12.75" customHeight="1">
      <c r="A222" s="18"/>
      <c r="B222" s="18"/>
      <c r="C222" s="18"/>
      <c r="D222" s="19"/>
      <c r="E222" s="11">
        <f t="shared" si="123"/>
        <v>138011.73</v>
      </c>
      <c r="F222" s="11">
        <f t="shared" si="118"/>
        <v>0</v>
      </c>
      <c r="G222" s="11">
        <f>ROUND(133992.31,2)</f>
        <v>133992.31</v>
      </c>
      <c r="H222" s="12">
        <f t="shared" si="119"/>
        <v>0</v>
      </c>
      <c r="I222" s="12"/>
      <c r="J222" s="12">
        <f>ROUND(690.13,2)</f>
        <v>690.13</v>
      </c>
      <c r="K222" s="12"/>
      <c r="L222" s="11">
        <f>ROUND(4709.55,2)</f>
        <v>4709.55</v>
      </c>
      <c r="M222" s="20">
        <v>97.08762436352329</v>
      </c>
      <c r="N222" s="20">
        <v>-2.9997393133979107</v>
      </c>
    </row>
    <row r="223" spans="1:14" ht="18" customHeight="1">
      <c r="A223" s="18"/>
      <c r="B223" s="18"/>
      <c r="C223" s="18"/>
      <c r="D223" s="19"/>
      <c r="E223" s="19"/>
      <c r="F223" s="19"/>
      <c r="G223" s="19"/>
      <c r="H223" s="18"/>
      <c r="I223" s="18"/>
      <c r="J223" s="18"/>
      <c r="K223" s="18"/>
      <c r="L223" s="19"/>
      <c r="M223" s="19"/>
      <c r="N223" s="19"/>
    </row>
    <row r="224" spans="1:14" ht="12.75" customHeight="1">
      <c r="A224" s="10" t="s">
        <v>167</v>
      </c>
      <c r="B224" s="10"/>
      <c r="C224" s="10"/>
      <c r="D224" s="11">
        <f>ROUND(5506572.93,2)</f>
        <v>5506572.93</v>
      </c>
      <c r="E224" s="11">
        <f>ROUND(5506572.93,2)</f>
        <v>5506572.93</v>
      </c>
      <c r="F224" s="11">
        <f aca="true" t="shared" si="124" ref="F224:F235">ROUND(0,2)</f>
        <v>0</v>
      </c>
      <c r="G224" s="11">
        <f aca="true" t="shared" si="125" ref="G224:G225">ROUND(2809244.52,2)</f>
        <v>2809244.52</v>
      </c>
      <c r="H224" s="12">
        <f aca="true" t="shared" si="126" ref="H224:H235">ROUND(0,2)</f>
        <v>0</v>
      </c>
      <c r="I224" s="12"/>
      <c r="J224" s="12">
        <f>ROUND(0,2)</f>
        <v>0</v>
      </c>
      <c r="K224" s="12"/>
      <c r="L224" s="11">
        <f>ROUND(2809244.52,2)</f>
        <v>2809244.52</v>
      </c>
      <c r="M224" s="11">
        <f>ROUND(2809244.52,2)</f>
        <v>2809244.52</v>
      </c>
      <c r="N224" s="11">
        <f>ROUND(2697328.41,2)</f>
        <v>2697328.41</v>
      </c>
    </row>
    <row r="225" spans="1:14" ht="12.75" customHeight="1">
      <c r="A225" s="13" t="s">
        <v>168</v>
      </c>
      <c r="B225" s="13"/>
      <c r="C225" s="13"/>
      <c r="D225" s="14"/>
      <c r="E225" s="15">
        <f>ROUND(0,2)</f>
        <v>0</v>
      </c>
      <c r="F225" s="15">
        <f t="shared" si="124"/>
        <v>0</v>
      </c>
      <c r="G225" s="15">
        <f t="shared" si="125"/>
        <v>2809244.52</v>
      </c>
      <c r="H225" s="15">
        <f t="shared" si="126"/>
        <v>0</v>
      </c>
      <c r="I225" s="15"/>
      <c r="J225" s="15">
        <f>ROUND(2809244.52,2)</f>
        <v>2809244.52</v>
      </c>
      <c r="K225" s="15"/>
      <c r="L225" s="15">
        <f aca="true" t="shared" si="127" ref="L225:L227">ROUND(0,2)</f>
        <v>0</v>
      </c>
      <c r="M225" s="16">
        <v>51.016204737707895</v>
      </c>
      <c r="N225" s="16">
        <v>100</v>
      </c>
    </row>
    <row r="226" spans="1:14" ht="12.75" customHeight="1">
      <c r="A226" s="10" t="s">
        <v>169</v>
      </c>
      <c r="B226" s="10"/>
      <c r="C226" s="10"/>
      <c r="D226" s="11">
        <f>ROUND(30000,2)</f>
        <v>30000</v>
      </c>
      <c r="E226" s="11">
        <f>ROUND(30000,2)</f>
        <v>30000</v>
      </c>
      <c r="F226" s="11">
        <f t="shared" si="124"/>
        <v>0</v>
      </c>
      <c r="G226" s="11">
        <f aca="true" t="shared" si="128" ref="G226:G227">ROUND(0,2)</f>
        <v>0</v>
      </c>
      <c r="H226" s="12">
        <f t="shared" si="126"/>
        <v>0</v>
      </c>
      <c r="I226" s="12"/>
      <c r="J226" s="12">
        <f aca="true" t="shared" si="129" ref="J226:J227">ROUND(0,2)</f>
        <v>0</v>
      </c>
      <c r="K226" s="12"/>
      <c r="L226" s="11">
        <f t="shared" si="127"/>
        <v>0</v>
      </c>
      <c r="M226" s="11">
        <f>ROUND(0,2)</f>
        <v>0</v>
      </c>
      <c r="N226" s="11">
        <f>ROUND(30000,2)</f>
        <v>30000</v>
      </c>
    </row>
    <row r="227" spans="1:14" ht="12.75" customHeight="1">
      <c r="A227" s="13" t="s">
        <v>170</v>
      </c>
      <c r="B227" s="13"/>
      <c r="C227" s="13"/>
      <c r="D227" s="14"/>
      <c r="E227" s="15">
        <f>ROUND(0,2)</f>
        <v>0</v>
      </c>
      <c r="F227" s="15">
        <f t="shared" si="124"/>
        <v>0</v>
      </c>
      <c r="G227" s="15">
        <f t="shared" si="128"/>
        <v>0</v>
      </c>
      <c r="H227" s="15">
        <f t="shared" si="126"/>
        <v>0</v>
      </c>
      <c r="I227" s="15"/>
      <c r="J227" s="15">
        <f t="shared" si="129"/>
        <v>0</v>
      </c>
      <c r="K227" s="15"/>
      <c r="L227" s="15">
        <f t="shared" si="127"/>
        <v>0</v>
      </c>
      <c r="M227" s="16">
        <v>0</v>
      </c>
      <c r="N227" s="16">
        <v>0</v>
      </c>
    </row>
    <row r="228" spans="1:14" ht="12.75" customHeight="1">
      <c r="A228" s="10" t="s">
        <v>171</v>
      </c>
      <c r="B228" s="10"/>
      <c r="C228" s="10"/>
      <c r="D228" s="11">
        <f>ROUND(446940.66,2)</f>
        <v>446940.66</v>
      </c>
      <c r="E228" s="11">
        <f>ROUND(446940.66,2)</f>
        <v>446940.66</v>
      </c>
      <c r="F228" s="11">
        <f t="shared" si="124"/>
        <v>0</v>
      </c>
      <c r="G228" s="11">
        <f>ROUND(517246.11,2)</f>
        <v>517246.11</v>
      </c>
      <c r="H228" s="12">
        <f t="shared" si="126"/>
        <v>0</v>
      </c>
      <c r="I228" s="12"/>
      <c r="J228" s="12">
        <f>ROUND(-0.0000000000145519152283669,2)</f>
        <v>0</v>
      </c>
      <c r="K228" s="12"/>
      <c r="L228" s="11">
        <f>ROUND(517246.11,2)</f>
        <v>517246.11</v>
      </c>
      <c r="M228" s="11">
        <f>ROUND(421339.91,2)</f>
        <v>421339.91</v>
      </c>
      <c r="N228" s="11">
        <f>ROUND(25600.75,2)</f>
        <v>25600.75</v>
      </c>
    </row>
    <row r="229" spans="1:14" ht="12.75" customHeight="1">
      <c r="A229" s="13" t="s">
        <v>172</v>
      </c>
      <c r="B229" s="13"/>
      <c r="C229" s="13"/>
      <c r="D229" s="14"/>
      <c r="E229" s="15">
        <f>ROUND(0,2)</f>
        <v>0</v>
      </c>
      <c r="F229" s="15">
        <f t="shared" si="124"/>
        <v>0</v>
      </c>
      <c r="G229" s="15">
        <f>ROUND(421339.91,2)</f>
        <v>421339.91</v>
      </c>
      <c r="H229" s="15">
        <f t="shared" si="126"/>
        <v>0</v>
      </c>
      <c r="I229" s="15"/>
      <c r="J229" s="15">
        <f>ROUND(517246.11,2)</f>
        <v>517246.11</v>
      </c>
      <c r="K229" s="15"/>
      <c r="L229" s="15">
        <f>ROUND(95906.2,2)</f>
        <v>95906.2</v>
      </c>
      <c r="M229" s="16">
        <v>94.27200246225081</v>
      </c>
      <c r="N229" s="16">
        <v>100</v>
      </c>
    </row>
    <row r="230" spans="1:14" ht="12.75" customHeight="1">
      <c r="A230" s="10" t="s">
        <v>173</v>
      </c>
      <c r="B230" s="10"/>
      <c r="C230" s="10"/>
      <c r="D230" s="11">
        <f>ROUND(140000,2)</f>
        <v>140000</v>
      </c>
      <c r="E230" s="11">
        <f>ROUND(140000,2)</f>
        <v>140000</v>
      </c>
      <c r="F230" s="11">
        <f t="shared" si="124"/>
        <v>0</v>
      </c>
      <c r="G230" s="11">
        <f>ROUND(200861.18,2)</f>
        <v>200861.18</v>
      </c>
      <c r="H230" s="12">
        <f t="shared" si="126"/>
        <v>0</v>
      </c>
      <c r="I230" s="12"/>
      <c r="J230" s="12">
        <f>ROUND(-0.00000000000932232069317251,2)</f>
        <v>0</v>
      </c>
      <c r="K230" s="12"/>
      <c r="L230" s="11">
        <f>ROUND(200861.18,2)</f>
        <v>200861.18</v>
      </c>
      <c r="M230" s="11">
        <f>ROUND(199593.42,2)</f>
        <v>199593.42</v>
      </c>
      <c r="N230" s="11">
        <f>ROUND(-59593.42,2)</f>
        <v>-59593.42</v>
      </c>
    </row>
    <row r="231" spans="1:14" ht="12.75" customHeight="1">
      <c r="A231" s="13" t="s">
        <v>174</v>
      </c>
      <c r="B231" s="13"/>
      <c r="C231" s="13"/>
      <c r="D231" s="14"/>
      <c r="E231" s="15">
        <f aca="true" t="shared" si="130" ref="E231:E233">ROUND(0,2)</f>
        <v>0</v>
      </c>
      <c r="F231" s="15">
        <f t="shared" si="124"/>
        <v>0</v>
      </c>
      <c r="G231" s="15">
        <f>ROUND(199593.42,2)</f>
        <v>199593.42</v>
      </c>
      <c r="H231" s="15">
        <f t="shared" si="126"/>
        <v>0</v>
      </c>
      <c r="I231" s="15"/>
      <c r="J231" s="15">
        <f>ROUND(200861.18,2)</f>
        <v>200861.18</v>
      </c>
      <c r="K231" s="15"/>
      <c r="L231" s="15">
        <f>ROUND(1267.76,2)</f>
        <v>1267.76</v>
      </c>
      <c r="M231" s="16">
        <v>142.56672857142857</v>
      </c>
      <c r="N231" s="16">
        <v>100</v>
      </c>
    </row>
    <row r="232" spans="1:14" ht="12.75" customHeight="1">
      <c r="A232" s="10" t="s">
        <v>175</v>
      </c>
      <c r="B232" s="10"/>
      <c r="C232" s="10"/>
      <c r="D232" s="11">
        <f>ROUND(0,2)</f>
        <v>0</v>
      </c>
      <c r="E232" s="11">
        <f t="shared" si="130"/>
        <v>0</v>
      </c>
      <c r="F232" s="11">
        <f t="shared" si="124"/>
        <v>0</v>
      </c>
      <c r="G232" s="11">
        <f aca="true" t="shared" si="131" ref="G232:G233">ROUND(74310.69,2)</f>
        <v>74310.69</v>
      </c>
      <c r="H232" s="12">
        <f t="shared" si="126"/>
        <v>0</v>
      </c>
      <c r="I232" s="12"/>
      <c r="J232" s="12">
        <f>ROUND(0,2)</f>
        <v>0</v>
      </c>
      <c r="K232" s="12"/>
      <c r="L232" s="11">
        <f>ROUND(74310.69,2)</f>
        <v>74310.69</v>
      </c>
      <c r="M232" s="11">
        <f>ROUND(74310.69,2)</f>
        <v>74310.69</v>
      </c>
      <c r="N232" s="11">
        <f>ROUND(-74310.69,2)</f>
        <v>-74310.69</v>
      </c>
    </row>
    <row r="233" spans="1:14" ht="12.75" customHeight="1">
      <c r="A233" s="13" t="s">
        <v>176</v>
      </c>
      <c r="B233" s="13"/>
      <c r="C233" s="13"/>
      <c r="D233" s="14"/>
      <c r="E233" s="15">
        <f t="shared" si="130"/>
        <v>0</v>
      </c>
      <c r="F233" s="15">
        <f t="shared" si="124"/>
        <v>0</v>
      </c>
      <c r="G233" s="15">
        <f t="shared" si="131"/>
        <v>74310.69</v>
      </c>
      <c r="H233" s="15">
        <f t="shared" si="126"/>
        <v>0</v>
      </c>
      <c r="I233" s="15"/>
      <c r="J233" s="15">
        <f>ROUND(74310.69,2)</f>
        <v>74310.69</v>
      </c>
      <c r="K233" s="15"/>
      <c r="L233" s="15">
        <f>ROUND(0,2)</f>
        <v>0</v>
      </c>
      <c r="M233" s="16">
        <v>0</v>
      </c>
      <c r="N233" s="16">
        <v>100</v>
      </c>
    </row>
    <row r="234" spans="1:14" ht="12.75" customHeight="1">
      <c r="A234" s="17" t="s">
        <v>177</v>
      </c>
      <c r="B234" s="17"/>
      <c r="C234" s="17"/>
      <c r="D234" s="11">
        <f>ROUND(6123513.59,2)</f>
        <v>6123513.59</v>
      </c>
      <c r="E234" s="11">
        <f>ROUND(6123513.59,2)</f>
        <v>6123513.59</v>
      </c>
      <c r="F234" s="11">
        <f t="shared" si="124"/>
        <v>0</v>
      </c>
      <c r="G234" s="11">
        <f>ROUND(3601662.5,2)</f>
        <v>3601662.5</v>
      </c>
      <c r="H234" s="12">
        <f t="shared" si="126"/>
        <v>0</v>
      </c>
      <c r="I234" s="12"/>
      <c r="J234" s="12">
        <f>ROUND(-0.0000000000238742359215394,2)</f>
        <v>0</v>
      </c>
      <c r="K234" s="12"/>
      <c r="L234" s="11">
        <f>ROUND(3601662.5,2)</f>
        <v>3601662.5</v>
      </c>
      <c r="M234" s="11">
        <f>ROUND(3504488.54,2)</f>
        <v>3504488.54</v>
      </c>
      <c r="N234" s="11">
        <f>ROUND(2619025.05,2)</f>
        <v>2619025.05</v>
      </c>
    </row>
    <row r="235" spans="1:14" ht="12.75" customHeight="1">
      <c r="A235" s="18"/>
      <c r="B235" s="18"/>
      <c r="C235" s="18"/>
      <c r="D235" s="19"/>
      <c r="E235" s="11">
        <f>ROUND(0,2)</f>
        <v>0</v>
      </c>
      <c r="F235" s="11">
        <f t="shared" si="124"/>
        <v>0</v>
      </c>
      <c r="G235" s="11">
        <f>ROUND(3504488.54,2)</f>
        <v>3504488.54</v>
      </c>
      <c r="H235" s="12">
        <f t="shared" si="126"/>
        <v>0</v>
      </c>
      <c r="I235" s="12"/>
      <c r="J235" s="12">
        <f>ROUND(3601662.5,2)</f>
        <v>3601662.5</v>
      </c>
      <c r="K235" s="12"/>
      <c r="L235" s="11">
        <f>ROUND(97173.96,2)</f>
        <v>97173.96</v>
      </c>
      <c r="M235" s="20">
        <v>57.230027965039596</v>
      </c>
      <c r="N235" s="20">
        <v>100</v>
      </c>
    </row>
    <row r="236" spans="1:14" ht="18" customHeight="1">
      <c r="A236" s="18"/>
      <c r="B236" s="18"/>
      <c r="C236" s="18"/>
      <c r="D236" s="19"/>
      <c r="E236" s="19"/>
      <c r="F236" s="19"/>
      <c r="G236" s="19"/>
      <c r="H236" s="18"/>
      <c r="I236" s="18"/>
      <c r="J236" s="18"/>
      <c r="K236" s="18"/>
      <c r="L236" s="19"/>
      <c r="M236" s="19"/>
      <c r="N236" s="19"/>
    </row>
    <row r="237" spans="1:14" ht="12.75" customHeight="1">
      <c r="A237" s="10" t="s">
        <v>178</v>
      </c>
      <c r="B237" s="10"/>
      <c r="C237" s="10"/>
      <c r="D237" s="11">
        <f>ROUND(0,2)</f>
        <v>0</v>
      </c>
      <c r="E237" s="11">
        <f aca="true" t="shared" si="132" ref="E237:E240">ROUND(2229593.93,2)</f>
        <v>2229593.93</v>
      </c>
      <c r="F237" s="11">
        <f aca="true" t="shared" si="133" ref="F237:F240">ROUND(0,2)</f>
        <v>0</v>
      </c>
      <c r="G237" s="11">
        <f>ROUND(2268962.11,2)</f>
        <v>2268962.11</v>
      </c>
      <c r="H237" s="12">
        <f aca="true" t="shared" si="134" ref="H237:H240">ROUND(0,2)</f>
        <v>0</v>
      </c>
      <c r="I237" s="12"/>
      <c r="J237" s="12">
        <f>ROUND(1954555.11,2)</f>
        <v>1954555.11</v>
      </c>
      <c r="K237" s="12"/>
      <c r="L237" s="11">
        <f>ROUND(314407,2)</f>
        <v>314407</v>
      </c>
      <c r="M237" s="11">
        <f>ROUND(263838.92,2)</f>
        <v>263838.92</v>
      </c>
      <c r="N237" s="11">
        <f>ROUND(11199.9000000004,2)</f>
        <v>11199.9</v>
      </c>
    </row>
    <row r="238" spans="1:14" ht="12.75" customHeight="1">
      <c r="A238" s="13" t="s">
        <v>179</v>
      </c>
      <c r="B238" s="13"/>
      <c r="C238" s="13"/>
      <c r="D238" s="14"/>
      <c r="E238" s="15">
        <f t="shared" si="132"/>
        <v>2229593.93</v>
      </c>
      <c r="F238" s="15">
        <f t="shared" si="133"/>
        <v>0</v>
      </c>
      <c r="G238" s="15">
        <f>ROUND(2218394.03,2)</f>
        <v>2218394.03</v>
      </c>
      <c r="H238" s="15">
        <f t="shared" si="134"/>
        <v>0</v>
      </c>
      <c r="I238" s="15"/>
      <c r="J238" s="15">
        <f>ROUND(314407,2)</f>
        <v>314407</v>
      </c>
      <c r="K238" s="15"/>
      <c r="L238" s="15">
        <f>ROUND(50568.08,2)</f>
        <v>50568.08</v>
      </c>
      <c r="M238" s="16">
        <v>99.49767086063065</v>
      </c>
      <c r="N238" s="16">
        <v>11.893239723512961</v>
      </c>
    </row>
    <row r="239" spans="1:14" ht="12.75" customHeight="1">
      <c r="A239" s="17" t="s">
        <v>180</v>
      </c>
      <c r="B239" s="17"/>
      <c r="C239" s="17"/>
      <c r="D239" s="11">
        <f>ROUND(0,2)</f>
        <v>0</v>
      </c>
      <c r="E239" s="11">
        <f t="shared" si="132"/>
        <v>2229593.93</v>
      </c>
      <c r="F239" s="11">
        <f t="shared" si="133"/>
        <v>0</v>
      </c>
      <c r="G239" s="11">
        <f>ROUND(2268962.11,2)</f>
        <v>2268962.11</v>
      </c>
      <c r="H239" s="12">
        <f t="shared" si="134"/>
        <v>0</v>
      </c>
      <c r="I239" s="12"/>
      <c r="J239" s="12">
        <f>ROUND(1954555.11,2)</f>
        <v>1954555.11</v>
      </c>
      <c r="K239" s="12"/>
      <c r="L239" s="11">
        <f>ROUND(314407,2)</f>
        <v>314407</v>
      </c>
      <c r="M239" s="11">
        <f>ROUND(263838.92,2)</f>
        <v>263838.92</v>
      </c>
      <c r="N239" s="11">
        <f>ROUND(11199.9000000004,2)</f>
        <v>11199.9</v>
      </c>
    </row>
    <row r="240" spans="1:14" ht="12.75" customHeight="1">
      <c r="A240" s="18"/>
      <c r="B240" s="18"/>
      <c r="C240" s="18"/>
      <c r="D240" s="19"/>
      <c r="E240" s="11">
        <f t="shared" si="132"/>
        <v>2229593.93</v>
      </c>
      <c r="F240" s="11">
        <f t="shared" si="133"/>
        <v>0</v>
      </c>
      <c r="G240" s="11">
        <f>ROUND(2218394.03,2)</f>
        <v>2218394.03</v>
      </c>
      <c r="H240" s="12">
        <f t="shared" si="134"/>
        <v>0</v>
      </c>
      <c r="I240" s="12"/>
      <c r="J240" s="12">
        <f>ROUND(314407,2)</f>
        <v>314407</v>
      </c>
      <c r="K240" s="12"/>
      <c r="L240" s="11">
        <f>ROUND(50568.08,2)</f>
        <v>50568.08</v>
      </c>
      <c r="M240" s="20">
        <v>99.49767086063065</v>
      </c>
      <c r="N240" s="20">
        <v>11.893239723512961</v>
      </c>
    </row>
    <row r="241" spans="1:14" ht="18" customHeight="1">
      <c r="A241" s="18"/>
      <c r="B241" s="18"/>
      <c r="C241" s="18"/>
      <c r="D241" s="19"/>
      <c r="E241" s="19"/>
      <c r="F241" s="19"/>
      <c r="G241" s="19"/>
      <c r="H241" s="18"/>
      <c r="I241" s="18"/>
      <c r="J241" s="18"/>
      <c r="K241" s="18"/>
      <c r="L241" s="19"/>
      <c r="M241" s="19"/>
      <c r="N241" s="19"/>
    </row>
    <row r="242" spans="1:14" ht="12.75" customHeight="1">
      <c r="A242" s="10" t="s">
        <v>181</v>
      </c>
      <c r="B242" s="10"/>
      <c r="C242" s="10"/>
      <c r="D242" s="11">
        <f>ROUND(6294688.65,2)</f>
        <v>6294688.65</v>
      </c>
      <c r="E242" s="11">
        <f>ROUND(6294688.65,2)</f>
        <v>6294688.65</v>
      </c>
      <c r="F242" s="11">
        <f aca="true" t="shared" si="135" ref="F242:F253">ROUND(0,2)</f>
        <v>0</v>
      </c>
      <c r="G242" s="11">
        <f aca="true" t="shared" si="136" ref="G242:G243">ROUND(7375246.9,2)</f>
        <v>7375246.9</v>
      </c>
      <c r="H242" s="12">
        <f aca="true" t="shared" si="137" ref="H242:H253">ROUND(0,2)</f>
        <v>0</v>
      </c>
      <c r="I242" s="12"/>
      <c r="J242" s="12">
        <f>ROUND(0,2)</f>
        <v>0</v>
      </c>
      <c r="K242" s="12"/>
      <c r="L242" s="11">
        <f>ROUND(7375246.9,2)</f>
        <v>7375246.9</v>
      </c>
      <c r="M242" s="11">
        <f>ROUND(7375246.9,2)</f>
        <v>7375246.9</v>
      </c>
      <c r="N242" s="11">
        <f>ROUND(-1080558.25,2)</f>
        <v>-1080558.25</v>
      </c>
    </row>
    <row r="243" spans="1:14" ht="12.75" customHeight="1">
      <c r="A243" s="13" t="s">
        <v>182</v>
      </c>
      <c r="B243" s="13"/>
      <c r="C243" s="13"/>
      <c r="D243" s="14"/>
      <c r="E243" s="15">
        <f>ROUND(0,2)</f>
        <v>0</v>
      </c>
      <c r="F243" s="15">
        <f t="shared" si="135"/>
        <v>0</v>
      </c>
      <c r="G243" s="15">
        <f t="shared" si="136"/>
        <v>7375246.9</v>
      </c>
      <c r="H243" s="15">
        <f t="shared" si="137"/>
        <v>0</v>
      </c>
      <c r="I243" s="15"/>
      <c r="J243" s="15">
        <f>ROUND(7375246.9,2)</f>
        <v>7375246.9</v>
      </c>
      <c r="K243" s="15"/>
      <c r="L243" s="15">
        <f>ROUND(0,2)</f>
        <v>0</v>
      </c>
      <c r="M243" s="16">
        <v>117.16619057878263</v>
      </c>
      <c r="N243" s="16">
        <v>100</v>
      </c>
    </row>
    <row r="244" spans="1:14" ht="12.75" customHeight="1">
      <c r="A244" s="10" t="s">
        <v>183</v>
      </c>
      <c r="B244" s="10"/>
      <c r="C244" s="10"/>
      <c r="D244" s="11">
        <f>ROUND(55000,2)</f>
        <v>55000</v>
      </c>
      <c r="E244" s="11">
        <f>ROUND(55000,2)</f>
        <v>55000</v>
      </c>
      <c r="F244" s="11">
        <f t="shared" si="135"/>
        <v>0</v>
      </c>
      <c r="G244" s="11">
        <f>ROUND(105655.81,2)</f>
        <v>105655.81</v>
      </c>
      <c r="H244" s="12">
        <f t="shared" si="137"/>
        <v>0</v>
      </c>
      <c r="I244" s="12"/>
      <c r="J244" s="12">
        <f>ROUND(0,2)</f>
        <v>0</v>
      </c>
      <c r="K244" s="12"/>
      <c r="L244" s="11">
        <f>ROUND(105655.81,2)</f>
        <v>105655.81</v>
      </c>
      <c r="M244" s="11">
        <f>ROUND(103291.81,2)</f>
        <v>103291.81</v>
      </c>
      <c r="N244" s="11">
        <f>ROUND(-48291.81,2)</f>
        <v>-48291.81</v>
      </c>
    </row>
    <row r="245" spans="1:14" ht="12.75" customHeight="1">
      <c r="A245" s="13" t="s">
        <v>184</v>
      </c>
      <c r="B245" s="13"/>
      <c r="C245" s="13"/>
      <c r="D245" s="14"/>
      <c r="E245" s="15">
        <f>ROUND(0,2)</f>
        <v>0</v>
      </c>
      <c r="F245" s="15">
        <f t="shared" si="135"/>
        <v>0</v>
      </c>
      <c r="G245" s="15">
        <f>ROUND(103291.81,2)</f>
        <v>103291.81</v>
      </c>
      <c r="H245" s="15">
        <f t="shared" si="137"/>
        <v>0</v>
      </c>
      <c r="I245" s="15"/>
      <c r="J245" s="15">
        <f>ROUND(105655.81,2)</f>
        <v>105655.81</v>
      </c>
      <c r="K245" s="15"/>
      <c r="L245" s="15">
        <f>ROUND(2364,2)</f>
        <v>2364</v>
      </c>
      <c r="M245" s="16">
        <v>187.80329090909092</v>
      </c>
      <c r="N245" s="16">
        <v>100</v>
      </c>
    </row>
    <row r="246" spans="1:14" ht="12.75" customHeight="1">
      <c r="A246" s="10" t="s">
        <v>185</v>
      </c>
      <c r="B246" s="10"/>
      <c r="C246" s="10"/>
      <c r="D246" s="11">
        <f>ROUND(70000,2)</f>
        <v>70000</v>
      </c>
      <c r="E246" s="11">
        <f>ROUND(70000,2)</f>
        <v>70000</v>
      </c>
      <c r="F246" s="11">
        <f t="shared" si="135"/>
        <v>0</v>
      </c>
      <c r="G246" s="11">
        <f aca="true" t="shared" si="138" ref="G246:G247">ROUND(7806.04,2)</f>
        <v>7806.04</v>
      </c>
      <c r="H246" s="12">
        <f t="shared" si="137"/>
        <v>0</v>
      </c>
      <c r="I246" s="12"/>
      <c r="J246" s="12">
        <f>ROUND(0,2)</f>
        <v>0</v>
      </c>
      <c r="K246" s="12"/>
      <c r="L246" s="11">
        <f>ROUND(7806.04,2)</f>
        <v>7806.04</v>
      </c>
      <c r="M246" s="11">
        <f>ROUND(7806.04,2)</f>
        <v>7806.04</v>
      </c>
      <c r="N246" s="11">
        <f>ROUND(62193.96,2)</f>
        <v>62193.96</v>
      </c>
    </row>
    <row r="247" spans="1:14" ht="12.75" customHeight="1">
      <c r="A247" s="13" t="s">
        <v>186</v>
      </c>
      <c r="B247" s="13"/>
      <c r="C247" s="13"/>
      <c r="D247" s="14"/>
      <c r="E247" s="15">
        <f aca="true" t="shared" si="139" ref="E247:E249">ROUND(0,2)</f>
        <v>0</v>
      </c>
      <c r="F247" s="15">
        <f t="shared" si="135"/>
        <v>0</v>
      </c>
      <c r="G247" s="15">
        <f t="shared" si="138"/>
        <v>7806.04</v>
      </c>
      <c r="H247" s="15">
        <f t="shared" si="137"/>
        <v>0</v>
      </c>
      <c r="I247" s="15"/>
      <c r="J247" s="15">
        <f>ROUND(7806.04,2)</f>
        <v>7806.04</v>
      </c>
      <c r="K247" s="15"/>
      <c r="L247" s="15">
        <f>ROUND(0,2)</f>
        <v>0</v>
      </c>
      <c r="M247" s="16">
        <v>11.151485714285714</v>
      </c>
      <c r="N247" s="16">
        <v>100</v>
      </c>
    </row>
    <row r="248" spans="1:14" ht="12.75" customHeight="1">
      <c r="A248" s="10" t="s">
        <v>187</v>
      </c>
      <c r="B248" s="10"/>
      <c r="C248" s="10"/>
      <c r="D248" s="11">
        <f>ROUND(0,2)</f>
        <v>0</v>
      </c>
      <c r="E248" s="11">
        <f t="shared" si="139"/>
        <v>0</v>
      </c>
      <c r="F248" s="11">
        <f t="shared" si="135"/>
        <v>0</v>
      </c>
      <c r="G248" s="11">
        <f aca="true" t="shared" si="140" ref="G248:G249">ROUND(164438.88,2)</f>
        <v>164438.88</v>
      </c>
      <c r="H248" s="12">
        <f t="shared" si="137"/>
        <v>0</v>
      </c>
      <c r="I248" s="12"/>
      <c r="J248" s="12">
        <f>ROUND(0,2)</f>
        <v>0</v>
      </c>
      <c r="K248" s="12"/>
      <c r="L248" s="11">
        <f>ROUND(164438.88,2)</f>
        <v>164438.88</v>
      </c>
      <c r="M248" s="11">
        <f>ROUND(164438.88,2)</f>
        <v>164438.88</v>
      </c>
      <c r="N248" s="11">
        <f>ROUND(-164438.88,2)</f>
        <v>-164438.88</v>
      </c>
    </row>
    <row r="249" spans="1:14" ht="12.75" customHeight="1">
      <c r="A249" s="13" t="s">
        <v>188</v>
      </c>
      <c r="B249" s="13"/>
      <c r="C249" s="13"/>
      <c r="D249" s="14"/>
      <c r="E249" s="15">
        <f t="shared" si="139"/>
        <v>0</v>
      </c>
      <c r="F249" s="15">
        <f t="shared" si="135"/>
        <v>0</v>
      </c>
      <c r="G249" s="15">
        <f t="shared" si="140"/>
        <v>164438.88</v>
      </c>
      <c r="H249" s="15">
        <f t="shared" si="137"/>
        <v>0</v>
      </c>
      <c r="I249" s="15"/>
      <c r="J249" s="15">
        <f>ROUND(164438.88,2)</f>
        <v>164438.88</v>
      </c>
      <c r="K249" s="15"/>
      <c r="L249" s="15">
        <f>ROUND(0,2)</f>
        <v>0</v>
      </c>
      <c r="M249" s="16">
        <v>0</v>
      </c>
      <c r="N249" s="16">
        <v>100</v>
      </c>
    </row>
    <row r="250" spans="1:14" ht="12.75" customHeight="1">
      <c r="A250" s="10" t="s">
        <v>189</v>
      </c>
      <c r="B250" s="10"/>
      <c r="C250" s="10"/>
      <c r="D250" s="11">
        <f>ROUND(0,2)</f>
        <v>0</v>
      </c>
      <c r="E250" s="11">
        <f aca="true" t="shared" si="141" ref="E250:E251">ROUND(359997.7,2)</f>
        <v>359997.7</v>
      </c>
      <c r="F250" s="11">
        <f t="shared" si="135"/>
        <v>0</v>
      </c>
      <c r="G250" s="11">
        <f aca="true" t="shared" si="142" ref="G250:G251">ROUND(618313.39,2)</f>
        <v>618313.39</v>
      </c>
      <c r="H250" s="12">
        <f t="shared" si="137"/>
        <v>0</v>
      </c>
      <c r="I250" s="12"/>
      <c r="J250" s="12">
        <f>ROUND(0,2)</f>
        <v>0</v>
      </c>
      <c r="K250" s="12"/>
      <c r="L250" s="11">
        <f>ROUND(618313.39,2)</f>
        <v>618313.39</v>
      </c>
      <c r="M250" s="11">
        <f>ROUND(618313.39,2)</f>
        <v>618313.39</v>
      </c>
      <c r="N250" s="11">
        <f>ROUND(-258315.69,2)</f>
        <v>-258315.69</v>
      </c>
    </row>
    <row r="251" spans="1:14" ht="12.75" customHeight="1">
      <c r="A251" s="13" t="s">
        <v>190</v>
      </c>
      <c r="B251" s="13"/>
      <c r="C251" s="13"/>
      <c r="D251" s="14"/>
      <c r="E251" s="15">
        <f t="shared" si="141"/>
        <v>359997.7</v>
      </c>
      <c r="F251" s="15">
        <f t="shared" si="135"/>
        <v>0</v>
      </c>
      <c r="G251" s="15">
        <f t="shared" si="142"/>
        <v>618313.39</v>
      </c>
      <c r="H251" s="15">
        <f t="shared" si="137"/>
        <v>0</v>
      </c>
      <c r="I251" s="15"/>
      <c r="J251" s="15">
        <f>ROUND(618313.39,2)</f>
        <v>618313.39</v>
      </c>
      <c r="K251" s="15"/>
      <c r="L251" s="15">
        <f>ROUND(0,2)</f>
        <v>0</v>
      </c>
      <c r="M251" s="16">
        <v>171.7548167668849</v>
      </c>
      <c r="N251" s="16">
        <v>100</v>
      </c>
    </row>
    <row r="252" spans="1:14" ht="12.75" customHeight="1">
      <c r="A252" s="17" t="s">
        <v>191</v>
      </c>
      <c r="B252" s="17"/>
      <c r="C252" s="17"/>
      <c r="D252" s="11">
        <f>ROUND(6419688.65,2)</f>
        <v>6419688.65</v>
      </c>
      <c r="E252" s="11">
        <f>ROUND(6779686.35,2)</f>
        <v>6779686.35</v>
      </c>
      <c r="F252" s="11">
        <f t="shared" si="135"/>
        <v>0</v>
      </c>
      <c r="G252" s="11">
        <f>ROUND(8271461.02,2)</f>
        <v>8271461.02</v>
      </c>
      <c r="H252" s="12">
        <f t="shared" si="137"/>
        <v>0</v>
      </c>
      <c r="I252" s="12"/>
      <c r="J252" s="12">
        <f>ROUND(0,2)</f>
        <v>0</v>
      </c>
      <c r="K252" s="12"/>
      <c r="L252" s="11">
        <f>ROUND(8271461.02,2)</f>
        <v>8271461.02</v>
      </c>
      <c r="M252" s="11">
        <f>ROUND(8269097.02,2)</f>
        <v>8269097.02</v>
      </c>
      <c r="N252" s="11">
        <f>ROUND(-1489410.67,2)</f>
        <v>-1489410.67</v>
      </c>
    </row>
    <row r="253" spans="1:14" ht="12.75" customHeight="1">
      <c r="A253" s="18"/>
      <c r="B253" s="18"/>
      <c r="C253" s="18"/>
      <c r="D253" s="19"/>
      <c r="E253" s="11">
        <f>ROUND(359997.7,2)</f>
        <v>359997.7</v>
      </c>
      <c r="F253" s="11">
        <f t="shared" si="135"/>
        <v>0</v>
      </c>
      <c r="G253" s="11">
        <f>ROUND(8269097.02,2)</f>
        <v>8269097.02</v>
      </c>
      <c r="H253" s="12">
        <f t="shared" si="137"/>
        <v>0</v>
      </c>
      <c r="I253" s="12"/>
      <c r="J253" s="12">
        <f>ROUND(8271461.02,2)</f>
        <v>8271461.02</v>
      </c>
      <c r="K253" s="12"/>
      <c r="L253" s="11">
        <f>ROUND(2364,2)</f>
        <v>2364</v>
      </c>
      <c r="M253" s="20">
        <v>121.96872529361183</v>
      </c>
      <c r="N253" s="20">
        <v>100</v>
      </c>
    </row>
    <row r="254" spans="1:14" ht="18" customHeight="1">
      <c r="A254" s="18"/>
      <c r="B254" s="18"/>
      <c r="C254" s="18"/>
      <c r="D254" s="19"/>
      <c r="E254" s="19"/>
      <c r="F254" s="19"/>
      <c r="G254" s="19"/>
      <c r="H254" s="18"/>
      <c r="I254" s="18"/>
      <c r="J254" s="18"/>
      <c r="K254" s="18"/>
      <c r="L254" s="19"/>
      <c r="M254" s="19"/>
      <c r="N254" s="19"/>
    </row>
    <row r="255" spans="1:14" ht="12.75" customHeight="1">
      <c r="A255" s="10" t="s">
        <v>192</v>
      </c>
      <c r="B255" s="10"/>
      <c r="C255" s="10"/>
      <c r="D255" s="11">
        <f>ROUND(0,2)</f>
        <v>0</v>
      </c>
      <c r="E255" s="11">
        <f aca="true" t="shared" si="143" ref="E255:E258">ROUND(0,2)</f>
        <v>0</v>
      </c>
      <c r="F255" s="11">
        <f aca="true" t="shared" si="144" ref="F255:F258">ROUND(0,2)</f>
        <v>0</v>
      </c>
      <c r="G255" s="11">
        <f aca="true" t="shared" si="145" ref="G255:G258">ROUND(0,2)</f>
        <v>0</v>
      </c>
      <c r="H255" s="12">
        <f aca="true" t="shared" si="146" ref="H255:H258">ROUND(0,2)</f>
        <v>0</v>
      </c>
      <c r="I255" s="12"/>
      <c r="J255" s="12">
        <f aca="true" t="shared" si="147" ref="J255:J258">ROUND(0,2)</f>
        <v>0</v>
      </c>
      <c r="K255" s="12"/>
      <c r="L255" s="11">
        <f aca="true" t="shared" si="148" ref="L255:L258">ROUND(0,2)</f>
        <v>0</v>
      </c>
      <c r="M255" s="11">
        <f>ROUND(0,2)</f>
        <v>0</v>
      </c>
      <c r="N255" s="11">
        <f>ROUND(0,2)</f>
        <v>0</v>
      </c>
    </row>
    <row r="256" spans="1:14" ht="12.75" customHeight="1">
      <c r="A256" s="13" t="s">
        <v>193</v>
      </c>
      <c r="B256" s="13"/>
      <c r="C256" s="13"/>
      <c r="D256" s="14"/>
      <c r="E256" s="15">
        <f t="shared" si="143"/>
        <v>0</v>
      </c>
      <c r="F256" s="15">
        <f t="shared" si="144"/>
        <v>0</v>
      </c>
      <c r="G256" s="15">
        <f t="shared" si="145"/>
        <v>0</v>
      </c>
      <c r="H256" s="15">
        <f t="shared" si="146"/>
        <v>0</v>
      </c>
      <c r="I256" s="15"/>
      <c r="J256" s="15">
        <f t="shared" si="147"/>
        <v>0</v>
      </c>
      <c r="K256" s="15"/>
      <c r="L256" s="15">
        <f t="shared" si="148"/>
        <v>0</v>
      </c>
      <c r="M256" s="16">
        <v>0</v>
      </c>
      <c r="N256" s="16">
        <v>0</v>
      </c>
    </row>
    <row r="257" spans="1:14" ht="12.75" customHeight="1">
      <c r="A257" s="17" t="s">
        <v>194</v>
      </c>
      <c r="B257" s="17"/>
      <c r="C257" s="17"/>
      <c r="D257" s="11">
        <f>ROUND(0,2)</f>
        <v>0</v>
      </c>
      <c r="E257" s="11">
        <f t="shared" si="143"/>
        <v>0</v>
      </c>
      <c r="F257" s="11">
        <f t="shared" si="144"/>
        <v>0</v>
      </c>
      <c r="G257" s="11">
        <f t="shared" si="145"/>
        <v>0</v>
      </c>
      <c r="H257" s="12">
        <f t="shared" si="146"/>
        <v>0</v>
      </c>
      <c r="I257" s="12"/>
      <c r="J257" s="12">
        <f t="shared" si="147"/>
        <v>0</v>
      </c>
      <c r="K257" s="12"/>
      <c r="L257" s="11">
        <f t="shared" si="148"/>
        <v>0</v>
      </c>
      <c r="M257" s="11">
        <f>ROUND(0,2)</f>
        <v>0</v>
      </c>
      <c r="N257" s="11">
        <f>ROUND(0,2)</f>
        <v>0</v>
      </c>
    </row>
    <row r="258" spans="1:14" ht="12.75" customHeight="1">
      <c r="A258" s="18"/>
      <c r="B258" s="18"/>
      <c r="C258" s="18"/>
      <c r="D258" s="19"/>
      <c r="E258" s="11">
        <f t="shared" si="143"/>
        <v>0</v>
      </c>
      <c r="F258" s="11">
        <f t="shared" si="144"/>
        <v>0</v>
      </c>
      <c r="G258" s="11">
        <f t="shared" si="145"/>
        <v>0</v>
      </c>
      <c r="H258" s="12">
        <f t="shared" si="146"/>
        <v>0</v>
      </c>
      <c r="I258" s="12"/>
      <c r="J258" s="12">
        <f t="shared" si="147"/>
        <v>0</v>
      </c>
      <c r="K258" s="12"/>
      <c r="L258" s="11">
        <f t="shared" si="148"/>
        <v>0</v>
      </c>
      <c r="M258" s="20">
        <v>0</v>
      </c>
      <c r="N258" s="20">
        <v>0</v>
      </c>
    </row>
    <row r="259" spans="1:14" ht="18" customHeight="1">
      <c r="A259" s="18"/>
      <c r="B259" s="18"/>
      <c r="C259" s="18"/>
      <c r="D259" s="19"/>
      <c r="E259" s="19"/>
      <c r="F259" s="19"/>
      <c r="G259" s="19"/>
      <c r="H259" s="18"/>
      <c r="I259" s="18"/>
      <c r="J259" s="18"/>
      <c r="K259" s="18"/>
      <c r="L259" s="19"/>
      <c r="M259" s="19"/>
      <c r="N259" s="19"/>
    </row>
    <row r="260" spans="1:14" ht="12.75" customHeight="1">
      <c r="A260" s="10" t="s">
        <v>195</v>
      </c>
      <c r="B260" s="10"/>
      <c r="C260" s="10"/>
      <c r="D260" s="11">
        <f>ROUND(100,2)</f>
        <v>100</v>
      </c>
      <c r="E260" s="11">
        <f>ROUND(100,2)</f>
        <v>100</v>
      </c>
      <c r="F260" s="11">
        <f aca="true" t="shared" si="149" ref="F260:F263">ROUND(0,2)</f>
        <v>0</v>
      </c>
      <c r="G260" s="11">
        <f aca="true" t="shared" si="150" ref="G260:G263">ROUND(0,2)</f>
        <v>0</v>
      </c>
      <c r="H260" s="12">
        <f aca="true" t="shared" si="151" ref="H260:H263">ROUND(0,2)</f>
        <v>0</v>
      </c>
      <c r="I260" s="12"/>
      <c r="J260" s="12">
        <f aca="true" t="shared" si="152" ref="J260:J263">ROUND(0,2)</f>
        <v>0</v>
      </c>
      <c r="K260" s="12"/>
      <c r="L260" s="11">
        <f aca="true" t="shared" si="153" ref="L260:L263">ROUND(0,2)</f>
        <v>0</v>
      </c>
      <c r="M260" s="11">
        <f>ROUND(0,2)</f>
        <v>0</v>
      </c>
      <c r="N260" s="11">
        <f>ROUND(100,2)</f>
        <v>100</v>
      </c>
    </row>
    <row r="261" spans="1:14" ht="12.75" customHeight="1">
      <c r="A261" s="13" t="s">
        <v>196</v>
      </c>
      <c r="B261" s="13"/>
      <c r="C261" s="13"/>
      <c r="D261" s="14"/>
      <c r="E261" s="15">
        <f>ROUND(0,2)</f>
        <v>0</v>
      </c>
      <c r="F261" s="15">
        <f t="shared" si="149"/>
        <v>0</v>
      </c>
      <c r="G261" s="15">
        <f t="shared" si="150"/>
        <v>0</v>
      </c>
      <c r="H261" s="15">
        <f t="shared" si="151"/>
        <v>0</v>
      </c>
      <c r="I261" s="15"/>
      <c r="J261" s="15">
        <f t="shared" si="152"/>
        <v>0</v>
      </c>
      <c r="K261" s="15"/>
      <c r="L261" s="15">
        <f t="shared" si="153"/>
        <v>0</v>
      </c>
      <c r="M261" s="16">
        <v>0</v>
      </c>
      <c r="N261" s="16">
        <v>0</v>
      </c>
    </row>
    <row r="262" spans="1:14" ht="12.75" customHeight="1">
      <c r="A262" s="17" t="s">
        <v>197</v>
      </c>
      <c r="B262" s="17"/>
      <c r="C262" s="17"/>
      <c r="D262" s="11">
        <f>ROUND(100,2)</f>
        <v>100</v>
      </c>
      <c r="E262" s="11">
        <f>ROUND(100,2)</f>
        <v>100</v>
      </c>
      <c r="F262" s="11">
        <f t="shared" si="149"/>
        <v>0</v>
      </c>
      <c r="G262" s="11">
        <f t="shared" si="150"/>
        <v>0</v>
      </c>
      <c r="H262" s="12">
        <f t="shared" si="151"/>
        <v>0</v>
      </c>
      <c r="I262" s="12"/>
      <c r="J262" s="12">
        <f t="shared" si="152"/>
        <v>0</v>
      </c>
      <c r="K262" s="12"/>
      <c r="L262" s="11">
        <f t="shared" si="153"/>
        <v>0</v>
      </c>
      <c r="M262" s="11">
        <f>ROUND(0,2)</f>
        <v>0</v>
      </c>
      <c r="N262" s="11">
        <f>ROUND(100,2)</f>
        <v>100</v>
      </c>
    </row>
    <row r="263" spans="1:14" ht="12.75" customHeight="1">
      <c r="A263" s="18"/>
      <c r="B263" s="18"/>
      <c r="C263" s="18"/>
      <c r="D263" s="19"/>
      <c r="E263" s="11">
        <f>ROUND(0,2)</f>
        <v>0</v>
      </c>
      <c r="F263" s="11">
        <f t="shared" si="149"/>
        <v>0</v>
      </c>
      <c r="G263" s="11">
        <f t="shared" si="150"/>
        <v>0</v>
      </c>
      <c r="H263" s="12">
        <f t="shared" si="151"/>
        <v>0</v>
      </c>
      <c r="I263" s="12"/>
      <c r="J263" s="12">
        <f t="shared" si="152"/>
        <v>0</v>
      </c>
      <c r="K263" s="12"/>
      <c r="L263" s="11">
        <f t="shared" si="153"/>
        <v>0</v>
      </c>
      <c r="M263" s="20">
        <v>0</v>
      </c>
      <c r="N263" s="20">
        <v>0</v>
      </c>
    </row>
    <row r="264" spans="1:14" ht="18" customHeight="1">
      <c r="A264" s="18"/>
      <c r="B264" s="18"/>
      <c r="C264" s="18"/>
      <c r="D264" s="19"/>
      <c r="E264" s="19"/>
      <c r="F264" s="19"/>
      <c r="G264" s="19"/>
      <c r="H264" s="18"/>
      <c r="I264" s="18"/>
      <c r="J264" s="18"/>
      <c r="K264" s="18"/>
      <c r="L264" s="19"/>
      <c r="M264" s="19"/>
      <c r="N264" s="19"/>
    </row>
    <row r="265" spans="1:14" ht="12.75" customHeight="1">
      <c r="A265" s="10" t="s">
        <v>198</v>
      </c>
      <c r="B265" s="10"/>
      <c r="C265" s="10"/>
      <c r="D265" s="11">
        <f>ROUND(300,2)</f>
        <v>300</v>
      </c>
      <c r="E265" s="11">
        <f>ROUND(300,2)</f>
        <v>300</v>
      </c>
      <c r="F265" s="11">
        <f aca="true" t="shared" si="154" ref="F265:F268">ROUND(0,2)</f>
        <v>0</v>
      </c>
      <c r="G265" s="11">
        <f aca="true" t="shared" si="155" ref="G265:G268">ROUND(575.98,2)</f>
        <v>575.98</v>
      </c>
      <c r="H265" s="12">
        <f aca="true" t="shared" si="156" ref="H265:H268">ROUND(0,2)</f>
        <v>0</v>
      </c>
      <c r="I265" s="12"/>
      <c r="J265" s="12">
        <f>ROUND(0,2)</f>
        <v>0</v>
      </c>
      <c r="K265" s="12"/>
      <c r="L265" s="11">
        <f>ROUND(575.98,2)</f>
        <v>575.98</v>
      </c>
      <c r="M265" s="11">
        <f>ROUND(575.98,2)</f>
        <v>575.98</v>
      </c>
      <c r="N265" s="11">
        <f>ROUND(-275.98,2)</f>
        <v>-275.98</v>
      </c>
    </row>
    <row r="266" spans="1:14" ht="12.75" customHeight="1">
      <c r="A266" s="13" t="s">
        <v>199</v>
      </c>
      <c r="B266" s="13"/>
      <c r="C266" s="13"/>
      <c r="D266" s="14"/>
      <c r="E266" s="15">
        <f>ROUND(0,2)</f>
        <v>0</v>
      </c>
      <c r="F266" s="15">
        <f t="shared" si="154"/>
        <v>0</v>
      </c>
      <c r="G266" s="15">
        <f t="shared" si="155"/>
        <v>575.98</v>
      </c>
      <c r="H266" s="15">
        <f t="shared" si="156"/>
        <v>0</v>
      </c>
      <c r="I266" s="15"/>
      <c r="J266" s="15">
        <f>ROUND(575.98,2)</f>
        <v>575.98</v>
      </c>
      <c r="K266" s="15"/>
      <c r="L266" s="15">
        <f>ROUND(0,2)</f>
        <v>0</v>
      </c>
      <c r="M266" s="16">
        <v>191.99333333333334</v>
      </c>
      <c r="N266" s="16">
        <v>100</v>
      </c>
    </row>
    <row r="267" spans="1:14" ht="12.75" customHeight="1">
      <c r="A267" s="17" t="s">
        <v>200</v>
      </c>
      <c r="B267" s="17"/>
      <c r="C267" s="17"/>
      <c r="D267" s="11">
        <f>ROUND(300,2)</f>
        <v>300</v>
      </c>
      <c r="E267" s="11">
        <f>ROUND(300,2)</f>
        <v>300</v>
      </c>
      <c r="F267" s="11">
        <f t="shared" si="154"/>
        <v>0</v>
      </c>
      <c r="G267" s="11">
        <f t="shared" si="155"/>
        <v>575.98</v>
      </c>
      <c r="H267" s="12">
        <f t="shared" si="156"/>
        <v>0</v>
      </c>
      <c r="I267" s="12"/>
      <c r="J267" s="12">
        <f>ROUND(0,2)</f>
        <v>0</v>
      </c>
      <c r="K267" s="12"/>
      <c r="L267" s="11">
        <f>ROUND(575.98,2)</f>
        <v>575.98</v>
      </c>
      <c r="M267" s="11">
        <f>ROUND(575.98,2)</f>
        <v>575.98</v>
      </c>
      <c r="N267" s="11">
        <f>ROUND(-275.98,2)</f>
        <v>-275.98</v>
      </c>
    </row>
    <row r="268" spans="1:14" ht="12.75" customHeight="1">
      <c r="A268" s="18"/>
      <c r="B268" s="18"/>
      <c r="C268" s="18"/>
      <c r="D268" s="19"/>
      <c r="E268" s="11">
        <f>ROUND(0,2)</f>
        <v>0</v>
      </c>
      <c r="F268" s="11">
        <f t="shared" si="154"/>
        <v>0</v>
      </c>
      <c r="G268" s="11">
        <f t="shared" si="155"/>
        <v>575.98</v>
      </c>
      <c r="H268" s="12">
        <f t="shared" si="156"/>
        <v>0</v>
      </c>
      <c r="I268" s="12"/>
      <c r="J268" s="12">
        <f>ROUND(575.98,2)</f>
        <v>575.98</v>
      </c>
      <c r="K268" s="12"/>
      <c r="L268" s="11">
        <f>ROUND(0,2)</f>
        <v>0</v>
      </c>
      <c r="M268" s="20">
        <v>191.99333333333334</v>
      </c>
      <c r="N268" s="20">
        <v>100</v>
      </c>
    </row>
    <row r="269" spans="1:14" ht="18" customHeight="1">
      <c r="A269" s="18"/>
      <c r="B269" s="18"/>
      <c r="C269" s="18"/>
      <c r="D269" s="19"/>
      <c r="E269" s="19"/>
      <c r="F269" s="19"/>
      <c r="G269" s="19"/>
      <c r="H269" s="18"/>
      <c r="I269" s="18"/>
      <c r="J269" s="18"/>
      <c r="K269" s="18"/>
      <c r="L269" s="19"/>
      <c r="M269" s="19"/>
      <c r="N269" s="19"/>
    </row>
    <row r="270" spans="1:14" ht="12.75" customHeight="1">
      <c r="A270" s="10" t="s">
        <v>201</v>
      </c>
      <c r="B270" s="10"/>
      <c r="C270" s="10"/>
      <c r="D270" s="11">
        <f>ROUND(60000,2)</f>
        <v>60000</v>
      </c>
      <c r="E270" s="11">
        <f>ROUND(60000,2)</f>
        <v>60000</v>
      </c>
      <c r="F270" s="11">
        <f aca="true" t="shared" si="157" ref="F270:F275">ROUND(0,2)</f>
        <v>0</v>
      </c>
      <c r="G270" s="11">
        <f aca="true" t="shared" si="158" ref="G270:G271">ROUND(13900,2)</f>
        <v>13900</v>
      </c>
      <c r="H270" s="12">
        <f aca="true" t="shared" si="159" ref="H270:H275">ROUND(0,2)</f>
        <v>0</v>
      </c>
      <c r="I270" s="12"/>
      <c r="J270" s="12">
        <f>ROUND(0,2)</f>
        <v>0</v>
      </c>
      <c r="K270" s="12"/>
      <c r="L270" s="11">
        <f>ROUND(13900,2)</f>
        <v>13900</v>
      </c>
      <c r="M270" s="11">
        <f>ROUND(13900,2)</f>
        <v>13900</v>
      </c>
      <c r="N270" s="11">
        <f>ROUND(46100,2)</f>
        <v>46100</v>
      </c>
    </row>
    <row r="271" spans="1:14" ht="12.75" customHeight="1">
      <c r="A271" s="13" t="s">
        <v>202</v>
      </c>
      <c r="B271" s="13"/>
      <c r="C271" s="13"/>
      <c r="D271" s="14"/>
      <c r="E271" s="15">
        <f>ROUND(0,2)</f>
        <v>0</v>
      </c>
      <c r="F271" s="15">
        <f t="shared" si="157"/>
        <v>0</v>
      </c>
      <c r="G271" s="15">
        <f t="shared" si="158"/>
        <v>13900</v>
      </c>
      <c r="H271" s="15">
        <f t="shared" si="159"/>
        <v>0</v>
      </c>
      <c r="I271" s="15"/>
      <c r="J271" s="15">
        <f>ROUND(13900,2)</f>
        <v>13900</v>
      </c>
      <c r="K271" s="15"/>
      <c r="L271" s="15">
        <f>ROUND(0,2)</f>
        <v>0</v>
      </c>
      <c r="M271" s="16">
        <v>23.166666666666664</v>
      </c>
      <c r="N271" s="16">
        <v>100</v>
      </c>
    </row>
    <row r="272" spans="1:14" ht="12.75" customHeight="1">
      <c r="A272" s="10" t="s">
        <v>203</v>
      </c>
      <c r="B272" s="10"/>
      <c r="C272" s="10"/>
      <c r="D272" s="11">
        <f>ROUND(12000,2)</f>
        <v>12000</v>
      </c>
      <c r="E272" s="11">
        <f>ROUND(12000,2)</f>
        <v>12000</v>
      </c>
      <c r="F272" s="11">
        <f t="shared" si="157"/>
        <v>0</v>
      </c>
      <c r="G272" s="11">
        <f aca="true" t="shared" si="160" ref="G272:G273">ROUND(2412,2)</f>
        <v>2412</v>
      </c>
      <c r="H272" s="12">
        <f t="shared" si="159"/>
        <v>0</v>
      </c>
      <c r="I272" s="12"/>
      <c r="J272" s="12">
        <f>ROUND(0,2)</f>
        <v>0</v>
      </c>
      <c r="K272" s="12"/>
      <c r="L272" s="11">
        <f>ROUND(2412,2)</f>
        <v>2412</v>
      </c>
      <c r="M272" s="11">
        <f>ROUND(2412,2)</f>
        <v>2412</v>
      </c>
      <c r="N272" s="11">
        <f>ROUND(9588,2)</f>
        <v>9588</v>
      </c>
    </row>
    <row r="273" spans="1:14" ht="12.75" customHeight="1">
      <c r="A273" s="13" t="s">
        <v>204</v>
      </c>
      <c r="B273" s="13"/>
      <c r="C273" s="13"/>
      <c r="D273" s="14"/>
      <c r="E273" s="15">
        <f>ROUND(0,2)</f>
        <v>0</v>
      </c>
      <c r="F273" s="15">
        <f t="shared" si="157"/>
        <v>0</v>
      </c>
      <c r="G273" s="15">
        <f t="shared" si="160"/>
        <v>2412</v>
      </c>
      <c r="H273" s="15">
        <f t="shared" si="159"/>
        <v>0</v>
      </c>
      <c r="I273" s="15"/>
      <c r="J273" s="15">
        <f>ROUND(2412,2)</f>
        <v>2412</v>
      </c>
      <c r="K273" s="15"/>
      <c r="L273" s="15">
        <f>ROUND(0,2)</f>
        <v>0</v>
      </c>
      <c r="M273" s="16">
        <v>20.1</v>
      </c>
      <c r="N273" s="16">
        <v>100</v>
      </c>
    </row>
    <row r="274" spans="1:14" ht="12.75" customHeight="1">
      <c r="A274" s="17" t="s">
        <v>205</v>
      </c>
      <c r="B274" s="17"/>
      <c r="C274" s="17"/>
      <c r="D274" s="11">
        <f>ROUND(72000,2)</f>
        <v>72000</v>
      </c>
      <c r="E274" s="11">
        <f>ROUND(72000,2)</f>
        <v>72000</v>
      </c>
      <c r="F274" s="11">
        <f t="shared" si="157"/>
        <v>0</v>
      </c>
      <c r="G274" s="11">
        <f aca="true" t="shared" si="161" ref="G274:G275">ROUND(16312,2)</f>
        <v>16312</v>
      </c>
      <c r="H274" s="12">
        <f t="shared" si="159"/>
        <v>0</v>
      </c>
      <c r="I274" s="12"/>
      <c r="J274" s="12">
        <f>ROUND(0,2)</f>
        <v>0</v>
      </c>
      <c r="K274" s="12"/>
      <c r="L274" s="11">
        <f>ROUND(16312,2)</f>
        <v>16312</v>
      </c>
      <c r="M274" s="11">
        <f>ROUND(16312,2)</f>
        <v>16312</v>
      </c>
      <c r="N274" s="11">
        <f>ROUND(55688,2)</f>
        <v>55688</v>
      </c>
    </row>
    <row r="275" spans="1:14" ht="12.75" customHeight="1">
      <c r="A275" s="18"/>
      <c r="B275" s="18"/>
      <c r="C275" s="18"/>
      <c r="D275" s="19"/>
      <c r="E275" s="11">
        <f>ROUND(0,2)</f>
        <v>0</v>
      </c>
      <c r="F275" s="11">
        <f t="shared" si="157"/>
        <v>0</v>
      </c>
      <c r="G275" s="11">
        <f t="shared" si="161"/>
        <v>16312</v>
      </c>
      <c r="H275" s="12">
        <f t="shared" si="159"/>
        <v>0</v>
      </c>
      <c r="I275" s="12"/>
      <c r="J275" s="12">
        <f>ROUND(16312,2)</f>
        <v>16312</v>
      </c>
      <c r="K275" s="12"/>
      <c r="L275" s="11">
        <f>ROUND(0,2)</f>
        <v>0</v>
      </c>
      <c r="M275" s="20">
        <v>22.655555555555555</v>
      </c>
      <c r="N275" s="20">
        <v>100</v>
      </c>
    </row>
    <row r="276" spans="1:14" ht="18" customHeight="1">
      <c r="A276" s="18"/>
      <c r="B276" s="18"/>
      <c r="C276" s="18"/>
      <c r="D276" s="19"/>
      <c r="E276" s="19"/>
      <c r="F276" s="19"/>
      <c r="G276" s="19"/>
      <c r="H276" s="18"/>
      <c r="I276" s="18"/>
      <c r="J276" s="18"/>
      <c r="K276" s="18"/>
      <c r="L276" s="19"/>
      <c r="M276" s="19"/>
      <c r="N276" s="19"/>
    </row>
    <row r="277" spans="1:14" ht="12.75" customHeight="1">
      <c r="A277" s="10" t="s">
        <v>206</v>
      </c>
      <c r="B277" s="10"/>
      <c r="C277" s="10"/>
      <c r="D277" s="11">
        <f>ROUND(5000,2)</f>
        <v>5000</v>
      </c>
      <c r="E277" s="11">
        <f>ROUND(5000,2)</f>
        <v>5000</v>
      </c>
      <c r="F277" s="11">
        <f aca="true" t="shared" si="162" ref="F277:F280">ROUND(0,2)</f>
        <v>0</v>
      </c>
      <c r="G277" s="11">
        <f aca="true" t="shared" si="163" ref="G277:G280">ROUND(0,2)</f>
        <v>0</v>
      </c>
      <c r="H277" s="12">
        <f aca="true" t="shared" si="164" ref="H277:H280">ROUND(0,2)</f>
        <v>0</v>
      </c>
      <c r="I277" s="12"/>
      <c r="J277" s="12">
        <f aca="true" t="shared" si="165" ref="J277:J280">ROUND(0,2)</f>
        <v>0</v>
      </c>
      <c r="K277" s="12"/>
      <c r="L277" s="11">
        <f aca="true" t="shared" si="166" ref="L277:L280">ROUND(0,2)</f>
        <v>0</v>
      </c>
      <c r="M277" s="11">
        <f>ROUND(0,2)</f>
        <v>0</v>
      </c>
      <c r="N277" s="11">
        <f>ROUND(5000,2)</f>
        <v>5000</v>
      </c>
    </row>
    <row r="278" spans="1:14" ht="12.75" customHeight="1">
      <c r="A278" s="13" t="s">
        <v>207</v>
      </c>
      <c r="B278" s="13"/>
      <c r="C278" s="13"/>
      <c r="D278" s="14"/>
      <c r="E278" s="15">
        <f>ROUND(0,2)</f>
        <v>0</v>
      </c>
      <c r="F278" s="15">
        <f t="shared" si="162"/>
        <v>0</v>
      </c>
      <c r="G278" s="15">
        <f t="shared" si="163"/>
        <v>0</v>
      </c>
      <c r="H278" s="15">
        <f t="shared" si="164"/>
        <v>0</v>
      </c>
      <c r="I278" s="15"/>
      <c r="J278" s="15">
        <f t="shared" si="165"/>
        <v>0</v>
      </c>
      <c r="K278" s="15"/>
      <c r="L278" s="15">
        <f t="shared" si="166"/>
        <v>0</v>
      </c>
      <c r="M278" s="16">
        <v>0</v>
      </c>
      <c r="N278" s="16">
        <v>0</v>
      </c>
    </row>
    <row r="279" spans="1:14" ht="12.75" customHeight="1">
      <c r="A279" s="17" t="s">
        <v>208</v>
      </c>
      <c r="B279" s="17"/>
      <c r="C279" s="17"/>
      <c r="D279" s="11">
        <f>ROUND(5000,2)</f>
        <v>5000</v>
      </c>
      <c r="E279" s="11">
        <f>ROUND(5000,2)</f>
        <v>5000</v>
      </c>
      <c r="F279" s="11">
        <f t="shared" si="162"/>
        <v>0</v>
      </c>
      <c r="G279" s="11">
        <f t="shared" si="163"/>
        <v>0</v>
      </c>
      <c r="H279" s="12">
        <f t="shared" si="164"/>
        <v>0</v>
      </c>
      <c r="I279" s="12"/>
      <c r="J279" s="12">
        <f t="shared" si="165"/>
        <v>0</v>
      </c>
      <c r="K279" s="12"/>
      <c r="L279" s="11">
        <f t="shared" si="166"/>
        <v>0</v>
      </c>
      <c r="M279" s="11">
        <f>ROUND(0,2)</f>
        <v>0</v>
      </c>
      <c r="N279" s="11">
        <f>ROUND(5000,2)</f>
        <v>5000</v>
      </c>
    </row>
    <row r="280" spans="1:14" ht="12.75" customHeight="1">
      <c r="A280" s="18"/>
      <c r="B280" s="18"/>
      <c r="C280" s="18"/>
      <c r="D280" s="19"/>
      <c r="E280" s="11">
        <f>ROUND(0,2)</f>
        <v>0</v>
      </c>
      <c r="F280" s="11">
        <f t="shared" si="162"/>
        <v>0</v>
      </c>
      <c r="G280" s="11">
        <f t="shared" si="163"/>
        <v>0</v>
      </c>
      <c r="H280" s="12">
        <f t="shared" si="164"/>
        <v>0</v>
      </c>
      <c r="I280" s="12"/>
      <c r="J280" s="12">
        <f t="shared" si="165"/>
        <v>0</v>
      </c>
      <c r="K280" s="12"/>
      <c r="L280" s="11">
        <f t="shared" si="166"/>
        <v>0</v>
      </c>
      <c r="M280" s="20">
        <v>0</v>
      </c>
      <c r="N280" s="20">
        <v>0</v>
      </c>
    </row>
    <row r="281" spans="1:14" ht="18" customHeight="1">
      <c r="A281" s="18"/>
      <c r="B281" s="18"/>
      <c r="C281" s="18"/>
      <c r="D281" s="19"/>
      <c r="E281" s="19"/>
      <c r="F281" s="19"/>
      <c r="G281" s="19"/>
      <c r="H281" s="18"/>
      <c r="I281" s="18"/>
      <c r="J281" s="18"/>
      <c r="K281" s="18"/>
      <c r="L281" s="19"/>
      <c r="M281" s="19"/>
      <c r="N281" s="19"/>
    </row>
    <row r="282" spans="1:14" ht="12.75" customHeight="1">
      <c r="A282" s="10" t="s">
        <v>209</v>
      </c>
      <c r="B282" s="10"/>
      <c r="C282" s="10"/>
      <c r="D282" s="11">
        <f>ROUND(145000,2)</f>
        <v>145000</v>
      </c>
      <c r="E282" s="11">
        <f>ROUND(145000,2)</f>
        <v>145000</v>
      </c>
      <c r="F282" s="11">
        <f aca="true" t="shared" si="167" ref="F282:F287">ROUND(0,2)</f>
        <v>0</v>
      </c>
      <c r="G282" s="11">
        <f aca="true" t="shared" si="168" ref="G282:G283">ROUND(0,2)</f>
        <v>0</v>
      </c>
      <c r="H282" s="12">
        <f aca="true" t="shared" si="169" ref="H282:H287">ROUND(0,2)</f>
        <v>0</v>
      </c>
      <c r="I282" s="12"/>
      <c r="J282" s="12">
        <f aca="true" t="shared" si="170" ref="J282:J284">ROUND(0,2)</f>
        <v>0</v>
      </c>
      <c r="K282" s="12"/>
      <c r="L282" s="11">
        <f aca="true" t="shared" si="171" ref="L282:L283">ROUND(0,2)</f>
        <v>0</v>
      </c>
      <c r="M282" s="11">
        <f>ROUND(0,2)</f>
        <v>0</v>
      </c>
      <c r="N282" s="11">
        <f>ROUND(145000,2)</f>
        <v>145000</v>
      </c>
    </row>
    <row r="283" spans="1:14" ht="12.75" customHeight="1">
      <c r="A283" s="13" t="s">
        <v>210</v>
      </c>
      <c r="B283" s="13"/>
      <c r="C283" s="13"/>
      <c r="D283" s="14"/>
      <c r="E283" s="15">
        <f>ROUND(0,2)</f>
        <v>0</v>
      </c>
      <c r="F283" s="15">
        <f t="shared" si="167"/>
        <v>0</v>
      </c>
      <c r="G283" s="15">
        <f t="shared" si="168"/>
        <v>0</v>
      </c>
      <c r="H283" s="15">
        <f t="shared" si="169"/>
        <v>0</v>
      </c>
      <c r="I283" s="15"/>
      <c r="J283" s="15">
        <f t="shared" si="170"/>
        <v>0</v>
      </c>
      <c r="K283" s="15"/>
      <c r="L283" s="15">
        <f t="shared" si="171"/>
        <v>0</v>
      </c>
      <c r="M283" s="16">
        <v>0</v>
      </c>
      <c r="N283" s="16">
        <v>0</v>
      </c>
    </row>
    <row r="284" spans="1:14" ht="12.75" customHeight="1">
      <c r="A284" s="10" t="s">
        <v>211</v>
      </c>
      <c r="B284" s="10"/>
      <c r="C284" s="10"/>
      <c r="D284" s="11">
        <f>ROUND(50000,2)</f>
        <v>50000</v>
      </c>
      <c r="E284" s="11">
        <f>ROUND(50000,2)</f>
        <v>50000</v>
      </c>
      <c r="F284" s="11">
        <f t="shared" si="167"/>
        <v>0</v>
      </c>
      <c r="G284" s="11">
        <f aca="true" t="shared" si="172" ref="G284:G287">ROUND(73294.97,2)</f>
        <v>73294.97</v>
      </c>
      <c r="H284" s="12">
        <f t="shared" si="169"/>
        <v>0</v>
      </c>
      <c r="I284" s="12"/>
      <c r="J284" s="12">
        <f t="shared" si="170"/>
        <v>0</v>
      </c>
      <c r="K284" s="12"/>
      <c r="L284" s="11">
        <f>ROUND(73294.97,2)</f>
        <v>73294.97</v>
      </c>
      <c r="M284" s="11">
        <f>ROUND(73294.97,2)</f>
        <v>73294.97</v>
      </c>
      <c r="N284" s="11">
        <f>ROUND(-23294.97,2)</f>
        <v>-23294.97</v>
      </c>
    </row>
    <row r="285" spans="1:14" ht="12.75" customHeight="1">
      <c r="A285" s="13" t="s">
        <v>212</v>
      </c>
      <c r="B285" s="13"/>
      <c r="C285" s="13"/>
      <c r="D285" s="14"/>
      <c r="E285" s="15">
        <f>ROUND(0,2)</f>
        <v>0</v>
      </c>
      <c r="F285" s="15">
        <f t="shared" si="167"/>
        <v>0</v>
      </c>
      <c r="G285" s="15">
        <f t="shared" si="172"/>
        <v>73294.97</v>
      </c>
      <c r="H285" s="15">
        <f t="shared" si="169"/>
        <v>0</v>
      </c>
      <c r="I285" s="15"/>
      <c r="J285" s="15">
        <f>ROUND(73294.97,2)</f>
        <v>73294.97</v>
      </c>
      <c r="K285" s="15"/>
      <c r="L285" s="15">
        <f>ROUND(0,2)</f>
        <v>0</v>
      </c>
      <c r="M285" s="16">
        <v>146.58994</v>
      </c>
      <c r="N285" s="16">
        <v>100</v>
      </c>
    </row>
    <row r="286" spans="1:14" ht="12.75" customHeight="1">
      <c r="A286" s="17" t="s">
        <v>213</v>
      </c>
      <c r="B286" s="17"/>
      <c r="C286" s="17"/>
      <c r="D286" s="11">
        <f>ROUND(195000,2)</f>
        <v>195000</v>
      </c>
      <c r="E286" s="11">
        <f>ROUND(195000,2)</f>
        <v>195000</v>
      </c>
      <c r="F286" s="11">
        <f t="shared" si="167"/>
        <v>0</v>
      </c>
      <c r="G286" s="11">
        <f t="shared" si="172"/>
        <v>73294.97</v>
      </c>
      <c r="H286" s="12">
        <f t="shared" si="169"/>
        <v>0</v>
      </c>
      <c r="I286" s="12"/>
      <c r="J286" s="12">
        <f>ROUND(0,2)</f>
        <v>0</v>
      </c>
      <c r="K286" s="12"/>
      <c r="L286" s="11">
        <f>ROUND(73294.97,2)</f>
        <v>73294.97</v>
      </c>
      <c r="M286" s="11">
        <f>ROUND(73294.97,2)</f>
        <v>73294.97</v>
      </c>
      <c r="N286" s="11">
        <f>ROUND(121705.03,2)</f>
        <v>121705.03</v>
      </c>
    </row>
    <row r="287" spans="1:14" ht="12.75" customHeight="1">
      <c r="A287" s="18"/>
      <c r="B287" s="18"/>
      <c r="C287" s="18"/>
      <c r="D287" s="19"/>
      <c r="E287" s="11">
        <f>ROUND(0,2)</f>
        <v>0</v>
      </c>
      <c r="F287" s="11">
        <f t="shared" si="167"/>
        <v>0</v>
      </c>
      <c r="G287" s="11">
        <f t="shared" si="172"/>
        <v>73294.97</v>
      </c>
      <c r="H287" s="12">
        <f t="shared" si="169"/>
        <v>0</v>
      </c>
      <c r="I287" s="12"/>
      <c r="J287" s="12">
        <f>ROUND(73294.97,2)</f>
        <v>73294.97</v>
      </c>
      <c r="K287" s="12"/>
      <c r="L287" s="11">
        <f>ROUND(0,2)</f>
        <v>0</v>
      </c>
      <c r="M287" s="20">
        <v>37.5871641025641</v>
      </c>
      <c r="N287" s="20">
        <v>100</v>
      </c>
    </row>
    <row r="288" spans="1:14" ht="18" customHeight="1">
      <c r="A288" s="18"/>
      <c r="B288" s="18"/>
      <c r="C288" s="18"/>
      <c r="D288" s="19"/>
      <c r="E288" s="19"/>
      <c r="F288" s="19"/>
      <c r="G288" s="19"/>
      <c r="H288" s="18"/>
      <c r="I288" s="18"/>
      <c r="J288" s="18"/>
      <c r="K288" s="18"/>
      <c r="L288" s="19"/>
      <c r="M288" s="19"/>
      <c r="N288" s="19"/>
    </row>
    <row r="289" spans="1:14" ht="12.75" customHeight="1">
      <c r="A289" s="10" t="s">
        <v>214</v>
      </c>
      <c r="B289" s="10"/>
      <c r="C289" s="10"/>
      <c r="D289" s="11">
        <f>ROUND(0,2)</f>
        <v>0</v>
      </c>
      <c r="E289" s="11">
        <f aca="true" t="shared" si="173" ref="E289:E292">ROUND(0,2)</f>
        <v>0</v>
      </c>
      <c r="F289" s="11">
        <f aca="true" t="shared" si="174" ref="F289:F292">ROUND(0,2)</f>
        <v>0</v>
      </c>
      <c r="G289" s="11">
        <f aca="true" t="shared" si="175" ref="G289:G292">ROUND(2809244.52,2)</f>
        <v>2809244.52</v>
      </c>
      <c r="H289" s="12">
        <f aca="true" t="shared" si="176" ref="H289:H292">ROUND(0,2)</f>
        <v>0</v>
      </c>
      <c r="I289" s="12"/>
      <c r="J289" s="12">
        <f>ROUND(0,2)</f>
        <v>0</v>
      </c>
      <c r="K289" s="12"/>
      <c r="L289" s="11">
        <f>ROUND(2809244.52,2)</f>
        <v>2809244.52</v>
      </c>
      <c r="M289" s="11">
        <f>ROUND(2809244.52,2)</f>
        <v>2809244.52</v>
      </c>
      <c r="N289" s="11">
        <f>ROUND(-2809244.52,2)</f>
        <v>-2809244.52</v>
      </c>
    </row>
    <row r="290" spans="1:14" ht="12.75" customHeight="1">
      <c r="A290" s="13" t="s">
        <v>215</v>
      </c>
      <c r="B290" s="13"/>
      <c r="C290" s="13"/>
      <c r="D290" s="14"/>
      <c r="E290" s="15">
        <f t="shared" si="173"/>
        <v>0</v>
      </c>
      <c r="F290" s="15">
        <f t="shared" si="174"/>
        <v>0</v>
      </c>
      <c r="G290" s="15">
        <f t="shared" si="175"/>
        <v>2809244.52</v>
      </c>
      <c r="H290" s="15">
        <f t="shared" si="176"/>
        <v>0</v>
      </c>
      <c r="I290" s="15"/>
      <c r="J290" s="15">
        <f>ROUND(2809244.52,2)</f>
        <v>2809244.52</v>
      </c>
      <c r="K290" s="15"/>
      <c r="L290" s="15">
        <f>ROUND(0,2)</f>
        <v>0</v>
      </c>
      <c r="M290" s="16">
        <v>0</v>
      </c>
      <c r="N290" s="16">
        <v>100</v>
      </c>
    </row>
    <row r="291" spans="1:14" ht="12.75" customHeight="1">
      <c r="A291" s="17" t="s">
        <v>216</v>
      </c>
      <c r="B291" s="17"/>
      <c r="C291" s="17"/>
      <c r="D291" s="11">
        <f>ROUND(0,2)</f>
        <v>0</v>
      </c>
      <c r="E291" s="11">
        <f t="shared" si="173"/>
        <v>0</v>
      </c>
      <c r="F291" s="11">
        <f t="shared" si="174"/>
        <v>0</v>
      </c>
      <c r="G291" s="11">
        <f t="shared" si="175"/>
        <v>2809244.52</v>
      </c>
      <c r="H291" s="12">
        <f t="shared" si="176"/>
        <v>0</v>
      </c>
      <c r="I291" s="12"/>
      <c r="J291" s="12">
        <f>ROUND(0,2)</f>
        <v>0</v>
      </c>
      <c r="K291" s="12"/>
      <c r="L291" s="11">
        <f>ROUND(2809244.52,2)</f>
        <v>2809244.52</v>
      </c>
      <c r="M291" s="11">
        <f>ROUND(2809244.52,2)</f>
        <v>2809244.52</v>
      </c>
      <c r="N291" s="11">
        <f>ROUND(-2809244.52,2)</f>
        <v>-2809244.52</v>
      </c>
    </row>
    <row r="292" spans="1:14" ht="12.75" customHeight="1">
      <c r="A292" s="18"/>
      <c r="B292" s="18"/>
      <c r="C292" s="18"/>
      <c r="D292" s="19"/>
      <c r="E292" s="11">
        <f t="shared" si="173"/>
        <v>0</v>
      </c>
      <c r="F292" s="11">
        <f t="shared" si="174"/>
        <v>0</v>
      </c>
      <c r="G292" s="11">
        <f t="shared" si="175"/>
        <v>2809244.52</v>
      </c>
      <c r="H292" s="12">
        <f t="shared" si="176"/>
        <v>0</v>
      </c>
      <c r="I292" s="12"/>
      <c r="J292" s="12">
        <f>ROUND(2809244.52,2)</f>
        <v>2809244.52</v>
      </c>
      <c r="K292" s="12"/>
      <c r="L292" s="11">
        <f>ROUND(0,2)</f>
        <v>0</v>
      </c>
      <c r="M292" s="20">
        <v>0</v>
      </c>
      <c r="N292" s="20">
        <v>100</v>
      </c>
    </row>
    <row r="293" spans="1:14" ht="18" customHeight="1">
      <c r="A293" s="18"/>
      <c r="B293" s="18"/>
      <c r="C293" s="18"/>
      <c r="D293" s="19"/>
      <c r="E293" s="19"/>
      <c r="F293" s="19"/>
      <c r="G293" s="19"/>
      <c r="H293" s="18"/>
      <c r="I293" s="18"/>
      <c r="J293" s="18"/>
      <c r="K293" s="18"/>
      <c r="L293" s="19"/>
      <c r="M293" s="19"/>
      <c r="N293" s="19"/>
    </row>
    <row r="294" spans="1:14" ht="12.75" customHeight="1">
      <c r="A294" s="10" t="s">
        <v>217</v>
      </c>
      <c r="B294" s="10"/>
      <c r="C294" s="10"/>
      <c r="D294" s="11">
        <f>ROUND(0,2)</f>
        <v>0</v>
      </c>
      <c r="E294" s="11">
        <f aca="true" t="shared" si="177" ref="E294:E297">ROUND(0,2)</f>
        <v>0</v>
      </c>
      <c r="F294" s="11">
        <f aca="true" t="shared" si="178" ref="F294:F297">ROUND(0,2)</f>
        <v>0</v>
      </c>
      <c r="G294" s="11">
        <f>ROUND(39603.65,2)</f>
        <v>39603.65</v>
      </c>
      <c r="H294" s="12">
        <f aca="true" t="shared" si="179" ref="H294:H297">ROUND(0,2)</f>
        <v>0</v>
      </c>
      <c r="I294" s="12"/>
      <c r="J294" s="12">
        <f>ROUND(0,2)</f>
        <v>0</v>
      </c>
      <c r="K294" s="12"/>
      <c r="L294" s="11">
        <f aca="true" t="shared" si="180" ref="L294:L297">ROUND(39603.65,2)</f>
        <v>39603.65</v>
      </c>
      <c r="M294" s="11">
        <f>ROUND(0,2)</f>
        <v>0</v>
      </c>
      <c r="N294" s="11">
        <f>ROUND(0,2)</f>
        <v>0</v>
      </c>
    </row>
    <row r="295" spans="1:14" ht="12.75" customHeight="1">
      <c r="A295" s="13" t="s">
        <v>218</v>
      </c>
      <c r="B295" s="13"/>
      <c r="C295" s="13"/>
      <c r="D295" s="14"/>
      <c r="E295" s="15">
        <f t="shared" si="177"/>
        <v>0</v>
      </c>
      <c r="F295" s="15">
        <f t="shared" si="178"/>
        <v>0</v>
      </c>
      <c r="G295" s="15">
        <f>ROUND(0,2)</f>
        <v>0</v>
      </c>
      <c r="H295" s="15">
        <f t="shared" si="179"/>
        <v>0</v>
      </c>
      <c r="I295" s="15"/>
      <c r="J295" s="15">
        <f>ROUND(39603.65,2)</f>
        <v>39603.65</v>
      </c>
      <c r="K295" s="15"/>
      <c r="L295" s="15">
        <f t="shared" si="180"/>
        <v>39603.65</v>
      </c>
      <c r="M295" s="16">
        <v>0</v>
      </c>
      <c r="N295" s="16">
        <v>0</v>
      </c>
    </row>
    <row r="296" spans="1:14" ht="12.75" customHeight="1">
      <c r="A296" s="17" t="s">
        <v>219</v>
      </c>
      <c r="B296" s="17"/>
      <c r="C296" s="17"/>
      <c r="D296" s="11">
        <f>ROUND(0,2)</f>
        <v>0</v>
      </c>
      <c r="E296" s="11">
        <f t="shared" si="177"/>
        <v>0</v>
      </c>
      <c r="F296" s="11">
        <f t="shared" si="178"/>
        <v>0</v>
      </c>
      <c r="G296" s="11">
        <f>ROUND(39603.65,2)</f>
        <v>39603.65</v>
      </c>
      <c r="H296" s="12">
        <f t="shared" si="179"/>
        <v>0</v>
      </c>
      <c r="I296" s="12"/>
      <c r="J296" s="12">
        <f>ROUND(0,2)</f>
        <v>0</v>
      </c>
      <c r="K296" s="12"/>
      <c r="L296" s="11">
        <f t="shared" si="180"/>
        <v>39603.65</v>
      </c>
      <c r="M296" s="11">
        <f>ROUND(0,2)</f>
        <v>0</v>
      </c>
      <c r="N296" s="11">
        <f>ROUND(0,2)</f>
        <v>0</v>
      </c>
    </row>
    <row r="297" spans="1:14" ht="12.75" customHeight="1">
      <c r="A297" s="18"/>
      <c r="B297" s="18"/>
      <c r="C297" s="18"/>
      <c r="D297" s="19"/>
      <c r="E297" s="11">
        <f t="shared" si="177"/>
        <v>0</v>
      </c>
      <c r="F297" s="11">
        <f t="shared" si="178"/>
        <v>0</v>
      </c>
      <c r="G297" s="11">
        <f>ROUND(0,2)</f>
        <v>0</v>
      </c>
      <c r="H297" s="12">
        <f t="shared" si="179"/>
        <v>0</v>
      </c>
      <c r="I297" s="12"/>
      <c r="J297" s="12">
        <f>ROUND(39603.65,2)</f>
        <v>39603.65</v>
      </c>
      <c r="K297" s="12"/>
      <c r="L297" s="11">
        <f t="shared" si="180"/>
        <v>39603.65</v>
      </c>
      <c r="M297" s="20">
        <v>0</v>
      </c>
      <c r="N297" s="20">
        <v>0</v>
      </c>
    </row>
    <row r="298" spans="1:14" ht="18" customHeight="1">
      <c r="A298" s="18"/>
      <c r="B298" s="18"/>
      <c r="C298" s="18"/>
      <c r="D298" s="19"/>
      <c r="E298" s="19"/>
      <c r="F298" s="19"/>
      <c r="G298" s="19"/>
      <c r="H298" s="18"/>
      <c r="I298" s="18"/>
      <c r="J298" s="18"/>
      <c r="K298" s="18"/>
      <c r="L298" s="19"/>
      <c r="M298" s="19"/>
      <c r="N298" s="19"/>
    </row>
    <row r="299" spans="1:14" ht="12.75" customHeight="1">
      <c r="A299" s="10" t="s">
        <v>220</v>
      </c>
      <c r="B299" s="10"/>
      <c r="C299" s="10"/>
      <c r="D299" s="11">
        <f>ROUND(120000,2)</f>
        <v>120000</v>
      </c>
      <c r="E299" s="11">
        <f>ROUND(120000,2)</f>
        <v>120000</v>
      </c>
      <c r="F299" s="11">
        <f aca="true" t="shared" si="181" ref="F299:F304">ROUND(0,2)</f>
        <v>0</v>
      </c>
      <c r="G299" s="11">
        <f aca="true" t="shared" si="182" ref="G299:G300">ROUND(113773.07,2)</f>
        <v>113773.07</v>
      </c>
      <c r="H299" s="12">
        <f aca="true" t="shared" si="183" ref="H299:H304">ROUND(0,2)</f>
        <v>0</v>
      </c>
      <c r="I299" s="12"/>
      <c r="J299" s="12">
        <f>ROUND(101386.79,2)</f>
        <v>101386.79</v>
      </c>
      <c r="K299" s="12"/>
      <c r="L299" s="11">
        <f>ROUND(12386.28,2)</f>
        <v>12386.28</v>
      </c>
      <c r="M299" s="11">
        <f>ROUND(12386.28,2)</f>
        <v>12386.28</v>
      </c>
      <c r="N299" s="11">
        <f>ROUND(6226.92999999999,2)</f>
        <v>6226.93</v>
      </c>
    </row>
    <row r="300" spans="1:14" ht="12.75" customHeight="1">
      <c r="A300" s="13" t="s">
        <v>221</v>
      </c>
      <c r="B300" s="13"/>
      <c r="C300" s="13"/>
      <c r="D300" s="14"/>
      <c r="E300" s="15">
        <f>ROUND(0,2)</f>
        <v>0</v>
      </c>
      <c r="F300" s="15">
        <f t="shared" si="181"/>
        <v>0</v>
      </c>
      <c r="G300" s="15">
        <f t="shared" si="182"/>
        <v>113773.07</v>
      </c>
      <c r="H300" s="15">
        <f t="shared" si="183"/>
        <v>0</v>
      </c>
      <c r="I300" s="15"/>
      <c r="J300" s="15">
        <f>ROUND(12386.28,2)</f>
        <v>12386.28</v>
      </c>
      <c r="K300" s="15"/>
      <c r="L300" s="15">
        <f>ROUND(0,2)</f>
        <v>0</v>
      </c>
      <c r="M300" s="16">
        <v>94.81089166666668</v>
      </c>
      <c r="N300" s="16">
        <v>10.886829370078525</v>
      </c>
    </row>
    <row r="301" spans="1:14" ht="12.75" customHeight="1">
      <c r="A301" s="10" t="s">
        <v>222</v>
      </c>
      <c r="B301" s="10"/>
      <c r="C301" s="10"/>
      <c r="D301" s="11">
        <f>ROUND(30000,2)</f>
        <v>30000</v>
      </c>
      <c r="E301" s="11">
        <f>ROUND(30000,2)</f>
        <v>30000</v>
      </c>
      <c r="F301" s="11">
        <f t="shared" si="181"/>
        <v>0</v>
      </c>
      <c r="G301" s="11">
        <f aca="true" t="shared" si="184" ref="G301:G302">ROUND(30000,2)</f>
        <v>30000</v>
      </c>
      <c r="H301" s="12">
        <f t="shared" si="183"/>
        <v>0</v>
      </c>
      <c r="I301" s="12"/>
      <c r="J301" s="12">
        <f>ROUND(19574.99,2)</f>
        <v>19574.99</v>
      </c>
      <c r="K301" s="12"/>
      <c r="L301" s="11">
        <f>ROUND(10425.01,2)</f>
        <v>10425.01</v>
      </c>
      <c r="M301" s="11">
        <f>ROUND(10425.01,2)</f>
        <v>10425.01</v>
      </c>
      <c r="N301" s="11">
        <f>ROUND(0,2)</f>
        <v>0</v>
      </c>
    </row>
    <row r="302" spans="1:14" ht="12.75" customHeight="1">
      <c r="A302" s="13" t="s">
        <v>223</v>
      </c>
      <c r="B302" s="13"/>
      <c r="C302" s="13"/>
      <c r="D302" s="14"/>
      <c r="E302" s="15">
        <f>ROUND(0,2)</f>
        <v>0</v>
      </c>
      <c r="F302" s="15">
        <f t="shared" si="181"/>
        <v>0</v>
      </c>
      <c r="G302" s="15">
        <f t="shared" si="184"/>
        <v>30000</v>
      </c>
      <c r="H302" s="15">
        <f t="shared" si="183"/>
        <v>0</v>
      </c>
      <c r="I302" s="15"/>
      <c r="J302" s="15">
        <f>ROUND(10425.01,2)</f>
        <v>10425.01</v>
      </c>
      <c r="K302" s="15"/>
      <c r="L302" s="15">
        <f>ROUND(0,2)</f>
        <v>0</v>
      </c>
      <c r="M302" s="16">
        <v>100</v>
      </c>
      <c r="N302" s="16">
        <v>34.750033333333334</v>
      </c>
    </row>
    <row r="303" spans="1:14" ht="12.75" customHeight="1">
      <c r="A303" s="17" t="s">
        <v>224</v>
      </c>
      <c r="B303" s="17"/>
      <c r="C303" s="17"/>
      <c r="D303" s="11">
        <f>ROUND(150000,2)</f>
        <v>150000</v>
      </c>
      <c r="E303" s="11">
        <f>ROUND(150000,2)</f>
        <v>150000</v>
      </c>
      <c r="F303" s="11">
        <f t="shared" si="181"/>
        <v>0</v>
      </c>
      <c r="G303" s="11">
        <f aca="true" t="shared" si="185" ref="G303:G304">ROUND(143773.07,2)</f>
        <v>143773.07</v>
      </c>
      <c r="H303" s="12">
        <f t="shared" si="183"/>
        <v>0</v>
      </c>
      <c r="I303" s="12"/>
      <c r="J303" s="12">
        <f>ROUND(120961.78,2)</f>
        <v>120961.78</v>
      </c>
      <c r="K303" s="12"/>
      <c r="L303" s="11">
        <f>ROUND(22811.29,2)</f>
        <v>22811.29</v>
      </c>
      <c r="M303" s="11">
        <f>ROUND(22811.29,2)</f>
        <v>22811.29</v>
      </c>
      <c r="N303" s="11">
        <f>ROUND(6226.92999999999,2)</f>
        <v>6226.93</v>
      </c>
    </row>
    <row r="304" spans="1:14" ht="12.75" customHeight="1">
      <c r="A304" s="18"/>
      <c r="B304" s="18"/>
      <c r="C304" s="18"/>
      <c r="D304" s="19"/>
      <c r="E304" s="11">
        <f>ROUND(0,2)</f>
        <v>0</v>
      </c>
      <c r="F304" s="11">
        <f t="shared" si="181"/>
        <v>0</v>
      </c>
      <c r="G304" s="11">
        <f t="shared" si="185"/>
        <v>143773.07</v>
      </c>
      <c r="H304" s="12">
        <f t="shared" si="183"/>
        <v>0</v>
      </c>
      <c r="I304" s="12"/>
      <c r="J304" s="12">
        <f>ROUND(22811.29,2)</f>
        <v>22811.29</v>
      </c>
      <c r="K304" s="12"/>
      <c r="L304" s="11">
        <f>ROUND(0,2)</f>
        <v>0</v>
      </c>
      <c r="M304" s="20">
        <v>95.84871333333334</v>
      </c>
      <c r="N304" s="20">
        <v>15.866177163776221</v>
      </c>
    </row>
    <row r="305" spans="1:14" ht="18" customHeight="1">
      <c r="A305" s="18"/>
      <c r="B305" s="18"/>
      <c r="C305" s="18"/>
      <c r="D305" s="19"/>
      <c r="E305" s="19"/>
      <c r="F305" s="19"/>
      <c r="G305" s="19"/>
      <c r="H305" s="18"/>
      <c r="I305" s="18"/>
      <c r="J305" s="18"/>
      <c r="K305" s="18"/>
      <c r="L305" s="19"/>
      <c r="M305" s="19"/>
      <c r="N305" s="19"/>
    </row>
    <row r="306" spans="1:14" ht="12.75" customHeight="1">
      <c r="A306" s="10" t="s">
        <v>225</v>
      </c>
      <c r="B306" s="10"/>
      <c r="C306" s="10"/>
      <c r="D306" s="11">
        <f>ROUND(0,2)</f>
        <v>0</v>
      </c>
      <c r="E306" s="11">
        <f aca="true" t="shared" si="186" ref="E306:E307">ROUND(1748829.26,2)</f>
        <v>1748829.26</v>
      </c>
      <c r="F306" s="11">
        <f aca="true" t="shared" si="187" ref="F306:F311">ROUND(0,2)</f>
        <v>0</v>
      </c>
      <c r="G306" s="11">
        <f aca="true" t="shared" si="188" ref="G306:G311">ROUND(0,2)</f>
        <v>0</v>
      </c>
      <c r="H306" s="12">
        <f aca="true" t="shared" si="189" ref="H306:H311">ROUND(0,2)</f>
        <v>0</v>
      </c>
      <c r="I306" s="12"/>
      <c r="J306" s="12">
        <f aca="true" t="shared" si="190" ref="J306:J311">ROUND(0,2)</f>
        <v>0</v>
      </c>
      <c r="K306" s="12"/>
      <c r="L306" s="11">
        <f aca="true" t="shared" si="191" ref="L306:L311">ROUND(0,2)</f>
        <v>0</v>
      </c>
      <c r="M306" s="11">
        <f>ROUND(0,2)</f>
        <v>0</v>
      </c>
      <c r="N306" s="11">
        <f>ROUND(1748829.26,2)</f>
        <v>1748829.26</v>
      </c>
    </row>
    <row r="307" spans="1:14" ht="12.75" customHeight="1">
      <c r="A307" s="13" t="s">
        <v>226</v>
      </c>
      <c r="B307" s="13"/>
      <c r="C307" s="13"/>
      <c r="D307" s="14"/>
      <c r="E307" s="15">
        <f t="shared" si="186"/>
        <v>1748829.26</v>
      </c>
      <c r="F307" s="15">
        <f t="shared" si="187"/>
        <v>0</v>
      </c>
      <c r="G307" s="15">
        <f t="shared" si="188"/>
        <v>0</v>
      </c>
      <c r="H307" s="15">
        <f t="shared" si="189"/>
        <v>0</v>
      </c>
      <c r="I307" s="15"/>
      <c r="J307" s="15">
        <f t="shared" si="190"/>
        <v>0</v>
      </c>
      <c r="K307" s="15"/>
      <c r="L307" s="15">
        <f t="shared" si="191"/>
        <v>0</v>
      </c>
      <c r="M307" s="16">
        <v>0</v>
      </c>
      <c r="N307" s="16">
        <v>0</v>
      </c>
    </row>
    <row r="308" spans="1:14" ht="12.75" customHeight="1">
      <c r="A308" s="10" t="s">
        <v>227</v>
      </c>
      <c r="B308" s="10"/>
      <c r="C308" s="10"/>
      <c r="D308" s="11">
        <f>ROUND(0,2)</f>
        <v>0</v>
      </c>
      <c r="E308" s="11">
        <f aca="true" t="shared" si="192" ref="E308:E309">ROUND(855543.49,2)</f>
        <v>855543.49</v>
      </c>
      <c r="F308" s="11">
        <f t="shared" si="187"/>
        <v>0</v>
      </c>
      <c r="G308" s="11">
        <f t="shared" si="188"/>
        <v>0</v>
      </c>
      <c r="H308" s="12">
        <f t="shared" si="189"/>
        <v>0</v>
      </c>
      <c r="I308" s="12"/>
      <c r="J308" s="12">
        <f t="shared" si="190"/>
        <v>0</v>
      </c>
      <c r="K308" s="12"/>
      <c r="L308" s="11">
        <f t="shared" si="191"/>
        <v>0</v>
      </c>
      <c r="M308" s="11">
        <f>ROUND(0,2)</f>
        <v>0</v>
      </c>
      <c r="N308" s="11">
        <f>ROUND(855543.49,2)</f>
        <v>855543.49</v>
      </c>
    </row>
    <row r="309" spans="1:14" ht="12.75" customHeight="1">
      <c r="A309" s="13" t="s">
        <v>228</v>
      </c>
      <c r="B309" s="13"/>
      <c r="C309" s="13"/>
      <c r="D309" s="14"/>
      <c r="E309" s="15">
        <f t="shared" si="192"/>
        <v>855543.49</v>
      </c>
      <c r="F309" s="15">
        <f t="shared" si="187"/>
        <v>0</v>
      </c>
      <c r="G309" s="15">
        <f t="shared" si="188"/>
        <v>0</v>
      </c>
      <c r="H309" s="15">
        <f t="shared" si="189"/>
        <v>0</v>
      </c>
      <c r="I309" s="15"/>
      <c r="J309" s="15">
        <f t="shared" si="190"/>
        <v>0</v>
      </c>
      <c r="K309" s="15"/>
      <c r="L309" s="15">
        <f t="shared" si="191"/>
        <v>0</v>
      </c>
      <c r="M309" s="16">
        <v>0</v>
      </c>
      <c r="N309" s="16">
        <v>0</v>
      </c>
    </row>
    <row r="310" spans="1:14" ht="12.75" customHeight="1">
      <c r="A310" s="17" t="s">
        <v>229</v>
      </c>
      <c r="B310" s="17"/>
      <c r="C310" s="17"/>
      <c r="D310" s="11">
        <f>ROUND(0,2)</f>
        <v>0</v>
      </c>
      <c r="E310" s="11">
        <f aca="true" t="shared" si="193" ref="E310:E311">ROUND(2604372.75,2)</f>
        <v>2604372.75</v>
      </c>
      <c r="F310" s="11">
        <f t="shared" si="187"/>
        <v>0</v>
      </c>
      <c r="G310" s="11">
        <f t="shared" si="188"/>
        <v>0</v>
      </c>
      <c r="H310" s="12">
        <f t="shared" si="189"/>
        <v>0</v>
      </c>
      <c r="I310" s="12"/>
      <c r="J310" s="12">
        <f t="shared" si="190"/>
        <v>0</v>
      </c>
      <c r="K310" s="12"/>
      <c r="L310" s="11">
        <f t="shared" si="191"/>
        <v>0</v>
      </c>
      <c r="M310" s="11">
        <f>ROUND(0,2)</f>
        <v>0</v>
      </c>
      <c r="N310" s="11">
        <f>ROUND(2604372.75,2)</f>
        <v>2604372.75</v>
      </c>
    </row>
    <row r="311" spans="1:14" ht="12.75" customHeight="1">
      <c r="A311" s="18"/>
      <c r="B311" s="18"/>
      <c r="C311" s="18"/>
      <c r="D311" s="19"/>
      <c r="E311" s="11">
        <f t="shared" si="193"/>
        <v>2604372.75</v>
      </c>
      <c r="F311" s="11">
        <f t="shared" si="187"/>
        <v>0</v>
      </c>
      <c r="G311" s="11">
        <f t="shared" si="188"/>
        <v>0</v>
      </c>
      <c r="H311" s="12">
        <f t="shared" si="189"/>
        <v>0</v>
      </c>
      <c r="I311" s="12"/>
      <c r="J311" s="12">
        <f t="shared" si="190"/>
        <v>0</v>
      </c>
      <c r="K311" s="12"/>
      <c r="L311" s="11">
        <f t="shared" si="191"/>
        <v>0</v>
      </c>
      <c r="M311" s="20">
        <v>0</v>
      </c>
      <c r="N311" s="20">
        <v>0</v>
      </c>
    </row>
    <row r="312" spans="1:14" ht="18" customHeight="1">
      <c r="A312" s="18"/>
      <c r="B312" s="18"/>
      <c r="C312" s="18"/>
      <c r="D312" s="19"/>
      <c r="E312" s="19"/>
      <c r="F312" s="19"/>
      <c r="G312" s="19"/>
      <c r="H312" s="18"/>
      <c r="I312" s="18"/>
      <c r="J312" s="18"/>
      <c r="K312" s="18"/>
      <c r="L312" s="19"/>
      <c r="M312" s="19"/>
      <c r="N312" s="19"/>
    </row>
    <row r="313" spans="1:14" ht="12.75" customHeight="1">
      <c r="A313" s="10" t="s">
        <v>230</v>
      </c>
      <c r="B313" s="10"/>
      <c r="C313" s="10"/>
      <c r="D313" s="11">
        <f>ROUND(3600000,2)</f>
        <v>3600000</v>
      </c>
      <c r="E313" s="11">
        <f>ROUND(3600000,2)</f>
        <v>3600000</v>
      </c>
      <c r="F313" s="11">
        <f aca="true" t="shared" si="194" ref="F313:F316">ROUND(0,2)</f>
        <v>0</v>
      </c>
      <c r="G313" s="11">
        <f aca="true" t="shared" si="195" ref="G313:G316">ROUND(0,2)</f>
        <v>0</v>
      </c>
      <c r="H313" s="12">
        <f aca="true" t="shared" si="196" ref="H313:H316">ROUND(0,2)</f>
        <v>0</v>
      </c>
      <c r="I313" s="12"/>
      <c r="J313" s="12">
        <f aca="true" t="shared" si="197" ref="J313:J316">ROUND(0,2)</f>
        <v>0</v>
      </c>
      <c r="K313" s="12"/>
      <c r="L313" s="11">
        <f aca="true" t="shared" si="198" ref="L313:L316">ROUND(0,2)</f>
        <v>0</v>
      </c>
      <c r="M313" s="11">
        <f>ROUND(0,2)</f>
        <v>0</v>
      </c>
      <c r="N313" s="11">
        <f>ROUND(3600000,2)</f>
        <v>3600000</v>
      </c>
    </row>
    <row r="314" spans="1:14" ht="12.75" customHeight="1">
      <c r="A314" s="13" t="s">
        <v>231</v>
      </c>
      <c r="B314" s="13"/>
      <c r="C314" s="13"/>
      <c r="D314" s="14"/>
      <c r="E314" s="15">
        <f>ROUND(0,2)</f>
        <v>0</v>
      </c>
      <c r="F314" s="15">
        <f t="shared" si="194"/>
        <v>0</v>
      </c>
      <c r="G314" s="15">
        <f t="shared" si="195"/>
        <v>0</v>
      </c>
      <c r="H314" s="15">
        <f t="shared" si="196"/>
        <v>0</v>
      </c>
      <c r="I314" s="15"/>
      <c r="J314" s="15">
        <f t="shared" si="197"/>
        <v>0</v>
      </c>
      <c r="K314" s="15"/>
      <c r="L314" s="15">
        <f t="shared" si="198"/>
        <v>0</v>
      </c>
      <c r="M314" s="16">
        <v>0</v>
      </c>
      <c r="N314" s="16">
        <v>0</v>
      </c>
    </row>
    <row r="315" spans="1:14" ht="12.75" customHeight="1">
      <c r="A315" s="17" t="s">
        <v>232</v>
      </c>
      <c r="B315" s="17"/>
      <c r="C315" s="17"/>
      <c r="D315" s="11">
        <f>ROUND(3600000,2)</f>
        <v>3600000</v>
      </c>
      <c r="E315" s="11">
        <f>ROUND(3600000,2)</f>
        <v>3600000</v>
      </c>
      <c r="F315" s="11">
        <f t="shared" si="194"/>
        <v>0</v>
      </c>
      <c r="G315" s="11">
        <f t="shared" si="195"/>
        <v>0</v>
      </c>
      <c r="H315" s="12">
        <f t="shared" si="196"/>
        <v>0</v>
      </c>
      <c r="I315" s="12"/>
      <c r="J315" s="12">
        <f t="shared" si="197"/>
        <v>0</v>
      </c>
      <c r="K315" s="12"/>
      <c r="L315" s="11">
        <f t="shared" si="198"/>
        <v>0</v>
      </c>
      <c r="M315" s="11">
        <f>ROUND(0,2)</f>
        <v>0</v>
      </c>
      <c r="N315" s="11">
        <f>ROUND(3600000,2)</f>
        <v>3600000</v>
      </c>
    </row>
    <row r="316" spans="1:14" ht="12.75" customHeight="1">
      <c r="A316" s="18"/>
      <c r="B316" s="18"/>
      <c r="C316" s="18"/>
      <c r="D316" s="19"/>
      <c r="E316" s="11">
        <f>ROUND(0,2)</f>
        <v>0</v>
      </c>
      <c r="F316" s="11">
        <f t="shared" si="194"/>
        <v>0</v>
      </c>
      <c r="G316" s="11">
        <f t="shared" si="195"/>
        <v>0</v>
      </c>
      <c r="H316" s="12">
        <f t="shared" si="196"/>
        <v>0</v>
      </c>
      <c r="I316" s="12"/>
      <c r="J316" s="12">
        <f t="shared" si="197"/>
        <v>0</v>
      </c>
      <c r="K316" s="12"/>
      <c r="L316" s="11">
        <f t="shared" si="198"/>
        <v>0</v>
      </c>
      <c r="M316" s="20">
        <v>0</v>
      </c>
      <c r="N316" s="20">
        <v>0</v>
      </c>
    </row>
    <row r="317" spans="1:14" ht="18" customHeight="1">
      <c r="A317" s="18"/>
      <c r="B317" s="18"/>
      <c r="C317" s="18"/>
      <c r="D317" s="19"/>
      <c r="E317" s="19"/>
      <c r="F317" s="19"/>
      <c r="G317" s="19"/>
      <c r="H317" s="18"/>
      <c r="I317" s="18"/>
      <c r="J317" s="18"/>
      <c r="K317" s="18"/>
      <c r="L317" s="19"/>
      <c r="M317" s="19"/>
      <c r="N317" s="19"/>
    </row>
    <row r="318" spans="1:14" ht="12.75" customHeight="1">
      <c r="A318" s="21"/>
      <c r="B318" s="21"/>
      <c r="C318" s="21"/>
      <c r="D318" s="22"/>
      <c r="E318" s="22"/>
      <c r="F318" s="22"/>
      <c r="G318" s="22"/>
      <c r="H318" s="21"/>
      <c r="I318" s="21"/>
      <c r="J318" s="21"/>
      <c r="K318" s="21"/>
      <c r="L318" s="22"/>
      <c r="M318" s="22"/>
      <c r="N318" s="22"/>
    </row>
    <row r="319" spans="1:14" ht="12.75" customHeight="1">
      <c r="A319" s="23" t="s">
        <v>233</v>
      </c>
      <c r="B319" s="23"/>
      <c r="C319" s="23"/>
      <c r="D319" s="24">
        <f>ROUND(50280059.85,2)</f>
        <v>50280059.85</v>
      </c>
      <c r="E319" s="24">
        <f>ROUND(55612035.96,2)</f>
        <v>55612035.96</v>
      </c>
      <c r="F319" s="24">
        <f aca="true" t="shared" si="199" ref="F319:F320">ROUND(0,2)</f>
        <v>0</v>
      </c>
      <c r="G319" s="24">
        <f>ROUND(48166606.56,2)</f>
        <v>48166606.56</v>
      </c>
      <c r="H319" s="25">
        <f>ROUND(12414.39,2)</f>
        <v>12414.39</v>
      </c>
      <c r="I319" s="25"/>
      <c r="J319" s="25">
        <f>ROUND(2864122.5,2)</f>
        <v>2864122.5</v>
      </c>
      <c r="K319" s="25"/>
      <c r="L319" s="24">
        <f>ROUND(45288689.61,2)</f>
        <v>45288689.61</v>
      </c>
      <c r="M319" s="24">
        <f>ROUND(44897617.91,2)</f>
        <v>44897617.91</v>
      </c>
      <c r="N319" s="24">
        <f>ROUND(7850295.55,2)</f>
        <v>7850295.55</v>
      </c>
    </row>
    <row r="320" spans="1:14" ht="12.75" customHeight="1">
      <c r="A320" s="21"/>
      <c r="B320" s="21"/>
      <c r="C320" s="21"/>
      <c r="D320" s="22"/>
      <c r="E320" s="24">
        <f>ROUND(5331976.11,2)</f>
        <v>5331976.11</v>
      </c>
      <c r="F320" s="24">
        <f t="shared" si="199"/>
        <v>0</v>
      </c>
      <c r="G320" s="24">
        <f>ROUND(47761740.41,2)</f>
        <v>47761740.41</v>
      </c>
      <c r="H320" s="25">
        <f>ROUND(1380.06,2)</f>
        <v>1380.06</v>
      </c>
      <c r="I320" s="25"/>
      <c r="J320" s="25">
        <f>ROUND(45288689.61,2)</f>
        <v>45288689.61</v>
      </c>
      <c r="K320" s="25"/>
      <c r="L320" s="24">
        <f>ROUND(391071.7,2)</f>
        <v>391071.7</v>
      </c>
      <c r="M320" s="26">
        <v>85.88381918682784</v>
      </c>
      <c r="N320" s="26">
        <v>94.00331211674099</v>
      </c>
    </row>
    <row r="321" spans="1:14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</sheetData>
  <sheetProtection selectLockedCells="1" selectUnlockedCells="1"/>
  <mergeCells count="952">
    <mergeCell ref="A1:A6"/>
    <mergeCell ref="B1:B6"/>
    <mergeCell ref="C1:H1"/>
    <mergeCell ref="I1:J6"/>
    <mergeCell ref="C2:H2"/>
    <mergeCell ref="C3:H3"/>
    <mergeCell ref="C4:H4"/>
    <mergeCell ref="C5:H5"/>
    <mergeCell ref="C6:H6"/>
    <mergeCell ref="A7:C7"/>
    <mergeCell ref="H7:I7"/>
    <mergeCell ref="J7:K7"/>
    <mergeCell ref="A8:C8"/>
    <mergeCell ref="H8:I8"/>
    <mergeCell ref="J8:K8"/>
    <mergeCell ref="A9:C9"/>
    <mergeCell ref="H9:I9"/>
    <mergeCell ref="J9:K9"/>
    <mergeCell ref="A10:C10"/>
    <mergeCell ref="H10:I10"/>
    <mergeCell ref="J10:K10"/>
    <mergeCell ref="A11:C11"/>
    <mergeCell ref="H11:I11"/>
    <mergeCell ref="J11:K11"/>
    <mergeCell ref="A12:C12"/>
    <mergeCell ref="H12:I12"/>
    <mergeCell ref="J12:K12"/>
    <mergeCell ref="A13:C13"/>
    <mergeCell ref="H13:I13"/>
    <mergeCell ref="J13:K13"/>
    <mergeCell ref="A14:C14"/>
    <mergeCell ref="H14:I14"/>
    <mergeCell ref="J14:K14"/>
    <mergeCell ref="A15:C15"/>
    <mergeCell ref="H15:I15"/>
    <mergeCell ref="J15:K15"/>
    <mergeCell ref="A16:C16"/>
    <mergeCell ref="H16:I16"/>
    <mergeCell ref="J16:K16"/>
    <mergeCell ref="A17:C17"/>
    <mergeCell ref="H17:I17"/>
    <mergeCell ref="J17:K17"/>
    <mergeCell ref="A18:C18"/>
    <mergeCell ref="H18:I18"/>
    <mergeCell ref="J18:K18"/>
    <mergeCell ref="A19:C19"/>
    <mergeCell ref="H19:I19"/>
    <mergeCell ref="J19:K19"/>
    <mergeCell ref="A20:C20"/>
    <mergeCell ref="H20:I20"/>
    <mergeCell ref="J20:K20"/>
    <mergeCell ref="A21:C21"/>
    <mergeCell ref="H21:I21"/>
    <mergeCell ref="J21:K21"/>
    <mergeCell ref="A22:C22"/>
    <mergeCell ref="H22:I22"/>
    <mergeCell ref="J22:K22"/>
    <mergeCell ref="A23:C23"/>
    <mergeCell ref="H23:I23"/>
    <mergeCell ref="J23:K23"/>
    <mergeCell ref="A24:C24"/>
    <mergeCell ref="H24:I24"/>
    <mergeCell ref="J24:K24"/>
    <mergeCell ref="A25:C25"/>
    <mergeCell ref="H25:I25"/>
    <mergeCell ref="J25:K25"/>
    <mergeCell ref="A26:C26"/>
    <mergeCell ref="H26:I26"/>
    <mergeCell ref="J26:K26"/>
    <mergeCell ref="A27:C27"/>
    <mergeCell ref="H27:I27"/>
    <mergeCell ref="J27:K27"/>
    <mergeCell ref="A28:C28"/>
    <mergeCell ref="H28:I28"/>
    <mergeCell ref="J28:K28"/>
    <mergeCell ref="A29:C29"/>
    <mergeCell ref="H29:I29"/>
    <mergeCell ref="J29:K29"/>
    <mergeCell ref="A30:C30"/>
    <mergeCell ref="H30:I30"/>
    <mergeCell ref="J30:K30"/>
    <mergeCell ref="A31:C31"/>
    <mergeCell ref="H31:I31"/>
    <mergeCell ref="J31:K31"/>
    <mergeCell ref="A32:C32"/>
    <mergeCell ref="H32:I32"/>
    <mergeCell ref="J32:K32"/>
    <mergeCell ref="A33:C33"/>
    <mergeCell ref="H33:I33"/>
    <mergeCell ref="J33:K33"/>
    <mergeCell ref="A34:C34"/>
    <mergeCell ref="H34:I34"/>
    <mergeCell ref="J34:K34"/>
    <mergeCell ref="A35:C35"/>
    <mergeCell ref="H35:I35"/>
    <mergeCell ref="J35:K35"/>
    <mergeCell ref="A36:C36"/>
    <mergeCell ref="H36:I36"/>
    <mergeCell ref="J36:K36"/>
    <mergeCell ref="A37:C37"/>
    <mergeCell ref="H37:I37"/>
    <mergeCell ref="J37:K37"/>
    <mergeCell ref="A38:C38"/>
    <mergeCell ref="H38:I38"/>
    <mergeCell ref="J38:K38"/>
    <mergeCell ref="A39:C39"/>
    <mergeCell ref="H39:I39"/>
    <mergeCell ref="J39:K39"/>
    <mergeCell ref="A40:C40"/>
    <mergeCell ref="H40:I40"/>
    <mergeCell ref="J40:K40"/>
    <mergeCell ref="A41:C41"/>
    <mergeCell ref="H41:I41"/>
    <mergeCell ref="J41:K41"/>
    <mergeCell ref="A42:C42"/>
    <mergeCell ref="H42:I42"/>
    <mergeCell ref="J42:K42"/>
    <mergeCell ref="A43:C43"/>
    <mergeCell ref="H43:I43"/>
    <mergeCell ref="J43:K43"/>
    <mergeCell ref="A44:C44"/>
    <mergeCell ref="H44:I44"/>
    <mergeCell ref="J44:K44"/>
    <mergeCell ref="A45:C45"/>
    <mergeCell ref="H45:I45"/>
    <mergeCell ref="J45:K45"/>
    <mergeCell ref="A46:C46"/>
    <mergeCell ref="H46:I46"/>
    <mergeCell ref="J46:K46"/>
    <mergeCell ref="A47:C47"/>
    <mergeCell ref="H47:I47"/>
    <mergeCell ref="J47:K47"/>
    <mergeCell ref="A48:C48"/>
    <mergeCell ref="H48:I48"/>
    <mergeCell ref="J48:K48"/>
    <mergeCell ref="A49:C49"/>
    <mergeCell ref="H49:I49"/>
    <mergeCell ref="J49:K49"/>
    <mergeCell ref="A50:C50"/>
    <mergeCell ref="H50:I50"/>
    <mergeCell ref="J50:K50"/>
    <mergeCell ref="A51:C51"/>
    <mergeCell ref="H51:I51"/>
    <mergeCell ref="J51:K51"/>
    <mergeCell ref="A52:C52"/>
    <mergeCell ref="H52:I52"/>
    <mergeCell ref="J52:K52"/>
    <mergeCell ref="A53:C53"/>
    <mergeCell ref="H53:I53"/>
    <mergeCell ref="J53:K53"/>
    <mergeCell ref="A54:C54"/>
    <mergeCell ref="H54:I54"/>
    <mergeCell ref="J54:K54"/>
    <mergeCell ref="A55:C55"/>
    <mergeCell ref="H55:I55"/>
    <mergeCell ref="J55:K55"/>
    <mergeCell ref="A56:C56"/>
    <mergeCell ref="H56:I56"/>
    <mergeCell ref="J56:K56"/>
    <mergeCell ref="A57:C57"/>
    <mergeCell ref="H57:I57"/>
    <mergeCell ref="J57:K57"/>
    <mergeCell ref="A58:C58"/>
    <mergeCell ref="H58:I58"/>
    <mergeCell ref="J58:K58"/>
    <mergeCell ref="A59:C59"/>
    <mergeCell ref="H59:I59"/>
    <mergeCell ref="J59:K59"/>
    <mergeCell ref="A60:C60"/>
    <mergeCell ref="H60:I60"/>
    <mergeCell ref="J60:K60"/>
    <mergeCell ref="A61:C61"/>
    <mergeCell ref="H61:I61"/>
    <mergeCell ref="J61:K61"/>
    <mergeCell ref="A62:C62"/>
    <mergeCell ref="H62:I62"/>
    <mergeCell ref="J62:K62"/>
    <mergeCell ref="A63:C63"/>
    <mergeCell ref="H63:I63"/>
    <mergeCell ref="J63:K63"/>
    <mergeCell ref="A64:C64"/>
    <mergeCell ref="H64:I64"/>
    <mergeCell ref="J64:K64"/>
    <mergeCell ref="A65:C65"/>
    <mergeCell ref="H65:I65"/>
    <mergeCell ref="J65:K65"/>
    <mergeCell ref="A66:C66"/>
    <mergeCell ref="H66:I66"/>
    <mergeCell ref="J66:K66"/>
    <mergeCell ref="A67:C67"/>
    <mergeCell ref="H67:I67"/>
    <mergeCell ref="J67:K67"/>
    <mergeCell ref="A68:C68"/>
    <mergeCell ref="H68:I68"/>
    <mergeCell ref="J68:K68"/>
    <mergeCell ref="A69:C69"/>
    <mergeCell ref="H69:I69"/>
    <mergeCell ref="J69:K69"/>
    <mergeCell ref="A70:C70"/>
    <mergeCell ref="H70:I70"/>
    <mergeCell ref="J70:K70"/>
    <mergeCell ref="A71:C71"/>
    <mergeCell ref="H71:I71"/>
    <mergeCell ref="J71:K71"/>
    <mergeCell ref="A72:C72"/>
    <mergeCell ref="H72:I72"/>
    <mergeCell ref="J72:K72"/>
    <mergeCell ref="A73:C73"/>
    <mergeCell ref="H73:I73"/>
    <mergeCell ref="J73:K73"/>
    <mergeCell ref="A74:C74"/>
    <mergeCell ref="H74:I74"/>
    <mergeCell ref="J74:K74"/>
    <mergeCell ref="A75:C75"/>
    <mergeCell ref="H75:I75"/>
    <mergeCell ref="J75:K75"/>
    <mergeCell ref="A76:C76"/>
    <mergeCell ref="H76:I76"/>
    <mergeCell ref="J76:K76"/>
    <mergeCell ref="A77:C77"/>
    <mergeCell ref="H77:I77"/>
    <mergeCell ref="J77:K77"/>
    <mergeCell ref="A78:C78"/>
    <mergeCell ref="H78:I78"/>
    <mergeCell ref="J78:K78"/>
    <mergeCell ref="A79:C79"/>
    <mergeCell ref="H79:I79"/>
    <mergeCell ref="J79:K79"/>
    <mergeCell ref="A80:C80"/>
    <mergeCell ref="H80:I80"/>
    <mergeCell ref="J80:K80"/>
    <mergeCell ref="A81:C81"/>
    <mergeCell ref="H81:I81"/>
    <mergeCell ref="J81:K81"/>
    <mergeCell ref="A82:C82"/>
    <mergeCell ref="H82:I82"/>
    <mergeCell ref="J82:K82"/>
    <mergeCell ref="A83:C83"/>
    <mergeCell ref="H83:I83"/>
    <mergeCell ref="J83:K83"/>
    <mergeCell ref="A84:C84"/>
    <mergeCell ref="H84:I84"/>
    <mergeCell ref="J84:K84"/>
    <mergeCell ref="A85:C85"/>
    <mergeCell ref="H85:I85"/>
    <mergeCell ref="J85:K85"/>
    <mergeCell ref="A86:C86"/>
    <mergeCell ref="H86:I86"/>
    <mergeCell ref="J86:K86"/>
    <mergeCell ref="A87:C87"/>
    <mergeCell ref="H87:I87"/>
    <mergeCell ref="J87:K87"/>
    <mergeCell ref="A88:C88"/>
    <mergeCell ref="H88:I88"/>
    <mergeCell ref="J88:K88"/>
    <mergeCell ref="A89:C89"/>
    <mergeCell ref="H89:I89"/>
    <mergeCell ref="J89:K89"/>
    <mergeCell ref="A90:C90"/>
    <mergeCell ref="H90:I90"/>
    <mergeCell ref="J90:K90"/>
    <mergeCell ref="A91:C91"/>
    <mergeCell ref="H91:I91"/>
    <mergeCell ref="J91:K91"/>
    <mergeCell ref="A92:C92"/>
    <mergeCell ref="H92:I92"/>
    <mergeCell ref="J92:K92"/>
    <mergeCell ref="A93:C93"/>
    <mergeCell ref="H93:I93"/>
    <mergeCell ref="J93:K93"/>
    <mergeCell ref="A94:C94"/>
    <mergeCell ref="H94:I94"/>
    <mergeCell ref="J94:K94"/>
    <mergeCell ref="A95:C95"/>
    <mergeCell ref="H95:I95"/>
    <mergeCell ref="J95:K95"/>
    <mergeCell ref="A96:C96"/>
    <mergeCell ref="H96:I96"/>
    <mergeCell ref="J96:K96"/>
    <mergeCell ref="A97:C97"/>
    <mergeCell ref="H97:I97"/>
    <mergeCell ref="J97:K97"/>
    <mergeCell ref="A98:C98"/>
    <mergeCell ref="H98:I98"/>
    <mergeCell ref="J98:K98"/>
    <mergeCell ref="A99:C99"/>
    <mergeCell ref="H99:I99"/>
    <mergeCell ref="J99:K99"/>
    <mergeCell ref="A100:C100"/>
    <mergeCell ref="H100:I100"/>
    <mergeCell ref="J100:K100"/>
    <mergeCell ref="A101:C101"/>
    <mergeCell ref="H101:I101"/>
    <mergeCell ref="J101:K101"/>
    <mergeCell ref="A102:C102"/>
    <mergeCell ref="H102:I102"/>
    <mergeCell ref="J102:K102"/>
    <mergeCell ref="A103:C103"/>
    <mergeCell ref="H103:I103"/>
    <mergeCell ref="J103:K103"/>
    <mergeCell ref="A104:C104"/>
    <mergeCell ref="H104:I104"/>
    <mergeCell ref="J104:K104"/>
    <mergeCell ref="A105:C105"/>
    <mergeCell ref="H105:I105"/>
    <mergeCell ref="J105:K105"/>
    <mergeCell ref="A106:C106"/>
    <mergeCell ref="H106:I106"/>
    <mergeCell ref="J106:K106"/>
    <mergeCell ref="A107:C107"/>
    <mergeCell ref="H107:I107"/>
    <mergeCell ref="J107:K107"/>
    <mergeCell ref="A108:C108"/>
    <mergeCell ref="H108:I108"/>
    <mergeCell ref="J108:K108"/>
    <mergeCell ref="A109:C109"/>
    <mergeCell ref="H109:I109"/>
    <mergeCell ref="J109:K109"/>
    <mergeCell ref="A110:C110"/>
    <mergeCell ref="H110:I110"/>
    <mergeCell ref="J110:K110"/>
    <mergeCell ref="A111:C111"/>
    <mergeCell ref="H111:I111"/>
    <mergeCell ref="J111:K111"/>
    <mergeCell ref="A112:C112"/>
    <mergeCell ref="H112:I112"/>
    <mergeCell ref="J112:K112"/>
    <mergeCell ref="A113:C113"/>
    <mergeCell ref="H113:I113"/>
    <mergeCell ref="J113:K113"/>
    <mergeCell ref="A114:C114"/>
    <mergeCell ref="H114:I114"/>
    <mergeCell ref="J114:K114"/>
    <mergeCell ref="A115:C115"/>
    <mergeCell ref="H115:I115"/>
    <mergeCell ref="J115:K115"/>
    <mergeCell ref="A116:C116"/>
    <mergeCell ref="H116:I116"/>
    <mergeCell ref="J116:K116"/>
    <mergeCell ref="A117:C117"/>
    <mergeCell ref="H117:I117"/>
    <mergeCell ref="J117:K117"/>
    <mergeCell ref="A118:C118"/>
    <mergeCell ref="H118:I118"/>
    <mergeCell ref="J118:K118"/>
    <mergeCell ref="A119:C119"/>
    <mergeCell ref="H119:I119"/>
    <mergeCell ref="J119:K119"/>
    <mergeCell ref="A120:C120"/>
    <mergeCell ref="H120:I120"/>
    <mergeCell ref="J120:K120"/>
    <mergeCell ref="A121:C121"/>
    <mergeCell ref="H121:I121"/>
    <mergeCell ref="J121:K121"/>
    <mergeCell ref="A122:C122"/>
    <mergeCell ref="H122:I122"/>
    <mergeCell ref="J122:K122"/>
    <mergeCell ref="A123:C123"/>
    <mergeCell ref="H123:I123"/>
    <mergeCell ref="J123:K123"/>
    <mergeCell ref="A124:C124"/>
    <mergeCell ref="H124:I124"/>
    <mergeCell ref="J124:K124"/>
    <mergeCell ref="A125:C125"/>
    <mergeCell ref="H125:I125"/>
    <mergeCell ref="J125:K125"/>
    <mergeCell ref="A126:C126"/>
    <mergeCell ref="H126:I126"/>
    <mergeCell ref="J126:K126"/>
    <mergeCell ref="A127:C127"/>
    <mergeCell ref="H127:I127"/>
    <mergeCell ref="J127:K127"/>
    <mergeCell ref="A128:C128"/>
    <mergeCell ref="H128:I128"/>
    <mergeCell ref="J128:K128"/>
    <mergeCell ref="A129:C129"/>
    <mergeCell ref="H129:I129"/>
    <mergeCell ref="J129:K129"/>
    <mergeCell ref="A130:C130"/>
    <mergeCell ref="H130:I130"/>
    <mergeCell ref="J130:K130"/>
    <mergeCell ref="A131:C131"/>
    <mergeCell ref="H131:I131"/>
    <mergeCell ref="J131:K131"/>
    <mergeCell ref="A132:C132"/>
    <mergeCell ref="H132:I132"/>
    <mergeCell ref="J132:K132"/>
    <mergeCell ref="A133:C133"/>
    <mergeCell ref="H133:I133"/>
    <mergeCell ref="J133:K133"/>
    <mergeCell ref="A134:C134"/>
    <mergeCell ref="H134:I134"/>
    <mergeCell ref="J134:K134"/>
    <mergeCell ref="A135:C135"/>
    <mergeCell ref="H135:I135"/>
    <mergeCell ref="J135:K135"/>
    <mergeCell ref="A136:C136"/>
    <mergeCell ref="H136:I136"/>
    <mergeCell ref="J136:K136"/>
    <mergeCell ref="A137:C137"/>
    <mergeCell ref="H137:I137"/>
    <mergeCell ref="J137:K137"/>
    <mergeCell ref="A138:C138"/>
    <mergeCell ref="H138:I138"/>
    <mergeCell ref="J138:K138"/>
    <mergeCell ref="A139:C139"/>
    <mergeCell ref="H139:I139"/>
    <mergeCell ref="J139:K139"/>
    <mergeCell ref="A140:C140"/>
    <mergeCell ref="H140:I140"/>
    <mergeCell ref="J140:K140"/>
    <mergeCell ref="A141:C141"/>
    <mergeCell ref="H141:I141"/>
    <mergeCell ref="J141:K141"/>
    <mergeCell ref="A142:C142"/>
    <mergeCell ref="H142:I142"/>
    <mergeCell ref="J142:K142"/>
    <mergeCell ref="A143:C143"/>
    <mergeCell ref="H143:I143"/>
    <mergeCell ref="J143:K143"/>
    <mergeCell ref="A144:C144"/>
    <mergeCell ref="H144:I144"/>
    <mergeCell ref="J144:K144"/>
    <mergeCell ref="A145:C145"/>
    <mergeCell ref="H145:I145"/>
    <mergeCell ref="J145:K145"/>
    <mergeCell ref="A146:C146"/>
    <mergeCell ref="H146:I146"/>
    <mergeCell ref="J146:K146"/>
    <mergeCell ref="A147:C147"/>
    <mergeCell ref="H147:I147"/>
    <mergeCell ref="J147:K147"/>
    <mergeCell ref="A148:C148"/>
    <mergeCell ref="H148:I148"/>
    <mergeCell ref="J148:K148"/>
    <mergeCell ref="A149:C149"/>
    <mergeCell ref="H149:I149"/>
    <mergeCell ref="J149:K149"/>
    <mergeCell ref="A150:C150"/>
    <mergeCell ref="H150:I150"/>
    <mergeCell ref="J150:K150"/>
    <mergeCell ref="A151:C151"/>
    <mergeCell ref="H151:I151"/>
    <mergeCell ref="J151:K151"/>
    <mergeCell ref="A152:C152"/>
    <mergeCell ref="H152:I152"/>
    <mergeCell ref="J152:K152"/>
    <mergeCell ref="A153:C153"/>
    <mergeCell ref="H153:I153"/>
    <mergeCell ref="J153:K153"/>
    <mergeCell ref="A154:C154"/>
    <mergeCell ref="H154:I154"/>
    <mergeCell ref="J154:K154"/>
    <mergeCell ref="A155:C155"/>
    <mergeCell ref="H155:I155"/>
    <mergeCell ref="J155:K155"/>
    <mergeCell ref="A156:C156"/>
    <mergeCell ref="H156:I156"/>
    <mergeCell ref="J156:K156"/>
    <mergeCell ref="A157:C157"/>
    <mergeCell ref="H157:I157"/>
    <mergeCell ref="J157:K157"/>
    <mergeCell ref="A158:C158"/>
    <mergeCell ref="H158:I158"/>
    <mergeCell ref="J158:K158"/>
    <mergeCell ref="A159:C159"/>
    <mergeCell ref="H159:I159"/>
    <mergeCell ref="J159:K159"/>
    <mergeCell ref="A160:C160"/>
    <mergeCell ref="H160:I160"/>
    <mergeCell ref="J160:K160"/>
    <mergeCell ref="A161:C161"/>
    <mergeCell ref="H161:I161"/>
    <mergeCell ref="J161:K161"/>
    <mergeCell ref="A162:C162"/>
    <mergeCell ref="H162:I162"/>
    <mergeCell ref="J162:K162"/>
    <mergeCell ref="A163:C163"/>
    <mergeCell ref="H163:I163"/>
    <mergeCell ref="J163:K163"/>
    <mergeCell ref="A164:C164"/>
    <mergeCell ref="H164:I164"/>
    <mergeCell ref="J164:K164"/>
    <mergeCell ref="A165:C165"/>
    <mergeCell ref="H165:I165"/>
    <mergeCell ref="J165:K165"/>
    <mergeCell ref="A166:C166"/>
    <mergeCell ref="H166:I166"/>
    <mergeCell ref="J166:K166"/>
    <mergeCell ref="A167:C167"/>
    <mergeCell ref="H167:I167"/>
    <mergeCell ref="J167:K167"/>
    <mergeCell ref="A168:C168"/>
    <mergeCell ref="H168:I168"/>
    <mergeCell ref="J168:K168"/>
    <mergeCell ref="A169:C169"/>
    <mergeCell ref="H169:I169"/>
    <mergeCell ref="J169:K169"/>
    <mergeCell ref="A170:C170"/>
    <mergeCell ref="H170:I170"/>
    <mergeCell ref="J170:K170"/>
    <mergeCell ref="A171:C171"/>
    <mergeCell ref="H171:I171"/>
    <mergeCell ref="J171:K171"/>
    <mergeCell ref="A172:C172"/>
    <mergeCell ref="H172:I172"/>
    <mergeCell ref="J172:K172"/>
    <mergeCell ref="A173:C173"/>
    <mergeCell ref="H173:I173"/>
    <mergeCell ref="J173:K173"/>
    <mergeCell ref="A174:C174"/>
    <mergeCell ref="H174:I174"/>
    <mergeCell ref="J174:K174"/>
    <mergeCell ref="A175:C175"/>
    <mergeCell ref="H175:I175"/>
    <mergeCell ref="J175:K175"/>
    <mergeCell ref="A176:C176"/>
    <mergeCell ref="H176:I176"/>
    <mergeCell ref="J176:K176"/>
    <mergeCell ref="A177:C177"/>
    <mergeCell ref="H177:I177"/>
    <mergeCell ref="J177:K177"/>
    <mergeCell ref="A178:C178"/>
    <mergeCell ref="H178:I178"/>
    <mergeCell ref="J178:K178"/>
    <mergeCell ref="A179:C179"/>
    <mergeCell ref="H179:I179"/>
    <mergeCell ref="J179:K179"/>
    <mergeCell ref="A180:C180"/>
    <mergeCell ref="H180:I180"/>
    <mergeCell ref="J180:K180"/>
    <mergeCell ref="A181:C181"/>
    <mergeCell ref="H181:I181"/>
    <mergeCell ref="J181:K181"/>
    <mergeCell ref="A182:C182"/>
    <mergeCell ref="H182:I182"/>
    <mergeCell ref="J182:K182"/>
    <mergeCell ref="A183:C183"/>
    <mergeCell ref="H183:I183"/>
    <mergeCell ref="J183:K183"/>
    <mergeCell ref="A184:C184"/>
    <mergeCell ref="H184:I184"/>
    <mergeCell ref="J184:K184"/>
    <mergeCell ref="A185:C185"/>
    <mergeCell ref="H185:I185"/>
    <mergeCell ref="J185:K185"/>
    <mergeCell ref="A186:C186"/>
    <mergeCell ref="H186:I186"/>
    <mergeCell ref="J186:K186"/>
    <mergeCell ref="A187:C187"/>
    <mergeCell ref="H187:I187"/>
    <mergeCell ref="J187:K187"/>
    <mergeCell ref="A188:C188"/>
    <mergeCell ref="H188:I188"/>
    <mergeCell ref="J188:K188"/>
    <mergeCell ref="A189:C189"/>
    <mergeCell ref="H189:I189"/>
    <mergeCell ref="J189:K189"/>
    <mergeCell ref="A190:C190"/>
    <mergeCell ref="H190:I190"/>
    <mergeCell ref="J190:K190"/>
    <mergeCell ref="A191:C191"/>
    <mergeCell ref="H191:I191"/>
    <mergeCell ref="J191:K191"/>
    <mergeCell ref="A192:C192"/>
    <mergeCell ref="H192:I192"/>
    <mergeCell ref="J192:K192"/>
    <mergeCell ref="A193:C193"/>
    <mergeCell ref="H193:I193"/>
    <mergeCell ref="J193:K193"/>
    <mergeCell ref="A194:C194"/>
    <mergeCell ref="H194:I194"/>
    <mergeCell ref="J194:K194"/>
    <mergeCell ref="A195:C195"/>
    <mergeCell ref="H195:I195"/>
    <mergeCell ref="J195:K195"/>
    <mergeCell ref="A196:C196"/>
    <mergeCell ref="H196:I196"/>
    <mergeCell ref="J196:K196"/>
    <mergeCell ref="A197:C197"/>
    <mergeCell ref="H197:I197"/>
    <mergeCell ref="J197:K197"/>
    <mergeCell ref="A198:C198"/>
    <mergeCell ref="H198:I198"/>
    <mergeCell ref="J198:K198"/>
    <mergeCell ref="A199:C199"/>
    <mergeCell ref="H199:I199"/>
    <mergeCell ref="J199:K199"/>
    <mergeCell ref="A200:C200"/>
    <mergeCell ref="H200:I200"/>
    <mergeCell ref="J200:K200"/>
    <mergeCell ref="A201:C201"/>
    <mergeCell ref="H201:I201"/>
    <mergeCell ref="J201:K201"/>
    <mergeCell ref="A202:C202"/>
    <mergeCell ref="H202:I202"/>
    <mergeCell ref="J202:K202"/>
    <mergeCell ref="A203:C203"/>
    <mergeCell ref="H203:I203"/>
    <mergeCell ref="J203:K203"/>
    <mergeCell ref="A204:C204"/>
    <mergeCell ref="H204:I204"/>
    <mergeCell ref="J204:K204"/>
    <mergeCell ref="A205:C205"/>
    <mergeCell ref="H205:I205"/>
    <mergeCell ref="J205:K205"/>
    <mergeCell ref="A206:C206"/>
    <mergeCell ref="H206:I206"/>
    <mergeCell ref="J206:K206"/>
    <mergeCell ref="A207:C207"/>
    <mergeCell ref="H207:I207"/>
    <mergeCell ref="J207:K207"/>
    <mergeCell ref="A208:C208"/>
    <mergeCell ref="H208:I208"/>
    <mergeCell ref="J208:K208"/>
    <mergeCell ref="A209:C209"/>
    <mergeCell ref="H209:I209"/>
    <mergeCell ref="J209:K209"/>
    <mergeCell ref="A210:C210"/>
    <mergeCell ref="H210:I210"/>
    <mergeCell ref="J210:K210"/>
    <mergeCell ref="A211:C211"/>
    <mergeCell ref="H211:I211"/>
    <mergeCell ref="J211:K211"/>
    <mergeCell ref="A212:C212"/>
    <mergeCell ref="H212:I212"/>
    <mergeCell ref="J212:K212"/>
    <mergeCell ref="A213:C213"/>
    <mergeCell ref="H213:I213"/>
    <mergeCell ref="J213:K213"/>
    <mergeCell ref="A214:C214"/>
    <mergeCell ref="H214:I214"/>
    <mergeCell ref="J214:K214"/>
    <mergeCell ref="A215:C215"/>
    <mergeCell ref="H215:I215"/>
    <mergeCell ref="J215:K215"/>
    <mergeCell ref="A216:C216"/>
    <mergeCell ref="H216:I216"/>
    <mergeCell ref="J216:K216"/>
    <mergeCell ref="A217:C217"/>
    <mergeCell ref="H217:I217"/>
    <mergeCell ref="J217:K217"/>
    <mergeCell ref="A218:C218"/>
    <mergeCell ref="H218:I218"/>
    <mergeCell ref="J218:K218"/>
    <mergeCell ref="A219:C219"/>
    <mergeCell ref="H219:I219"/>
    <mergeCell ref="J219:K219"/>
    <mergeCell ref="A220:C220"/>
    <mergeCell ref="H220:I220"/>
    <mergeCell ref="J220:K220"/>
    <mergeCell ref="A221:C221"/>
    <mergeCell ref="H221:I221"/>
    <mergeCell ref="J221:K221"/>
    <mergeCell ref="A222:C222"/>
    <mergeCell ref="H222:I222"/>
    <mergeCell ref="J222:K222"/>
    <mergeCell ref="A223:C223"/>
    <mergeCell ref="H223:I223"/>
    <mergeCell ref="J223:K223"/>
    <mergeCell ref="A224:C224"/>
    <mergeCell ref="H224:I224"/>
    <mergeCell ref="J224:K224"/>
    <mergeCell ref="A225:C225"/>
    <mergeCell ref="H225:I225"/>
    <mergeCell ref="J225:K225"/>
    <mergeCell ref="A226:C226"/>
    <mergeCell ref="H226:I226"/>
    <mergeCell ref="J226:K226"/>
    <mergeCell ref="A227:C227"/>
    <mergeCell ref="H227:I227"/>
    <mergeCell ref="J227:K227"/>
    <mergeCell ref="A228:C228"/>
    <mergeCell ref="H228:I228"/>
    <mergeCell ref="J228:K228"/>
    <mergeCell ref="A229:C229"/>
    <mergeCell ref="H229:I229"/>
    <mergeCell ref="J229:K229"/>
    <mergeCell ref="A230:C230"/>
    <mergeCell ref="H230:I230"/>
    <mergeCell ref="J230:K230"/>
    <mergeCell ref="A231:C231"/>
    <mergeCell ref="H231:I231"/>
    <mergeCell ref="J231:K231"/>
    <mergeCell ref="A232:C232"/>
    <mergeCell ref="H232:I232"/>
    <mergeCell ref="J232:K232"/>
    <mergeCell ref="A233:C233"/>
    <mergeCell ref="H233:I233"/>
    <mergeCell ref="J233:K233"/>
    <mergeCell ref="A234:C234"/>
    <mergeCell ref="H234:I234"/>
    <mergeCell ref="J234:K234"/>
    <mergeCell ref="A235:C235"/>
    <mergeCell ref="H235:I235"/>
    <mergeCell ref="J235:K235"/>
    <mergeCell ref="A236:C236"/>
    <mergeCell ref="H236:I236"/>
    <mergeCell ref="J236:K236"/>
    <mergeCell ref="A237:C237"/>
    <mergeCell ref="H237:I237"/>
    <mergeCell ref="J237:K237"/>
    <mergeCell ref="A238:C238"/>
    <mergeCell ref="H238:I238"/>
    <mergeCell ref="J238:K238"/>
    <mergeCell ref="A239:C239"/>
    <mergeCell ref="H239:I239"/>
    <mergeCell ref="J239:K239"/>
    <mergeCell ref="A240:C240"/>
    <mergeCell ref="H240:I240"/>
    <mergeCell ref="J240:K240"/>
    <mergeCell ref="A241:C241"/>
    <mergeCell ref="H241:I241"/>
    <mergeCell ref="J241:K241"/>
    <mergeCell ref="A242:C242"/>
    <mergeCell ref="H242:I242"/>
    <mergeCell ref="J242:K242"/>
    <mergeCell ref="A243:C243"/>
    <mergeCell ref="H243:I243"/>
    <mergeCell ref="J243:K243"/>
    <mergeCell ref="A244:C244"/>
    <mergeCell ref="H244:I244"/>
    <mergeCell ref="J244:K244"/>
    <mergeCell ref="A245:C245"/>
    <mergeCell ref="H245:I245"/>
    <mergeCell ref="J245:K245"/>
    <mergeCell ref="A246:C246"/>
    <mergeCell ref="H246:I246"/>
    <mergeCell ref="J246:K246"/>
    <mergeCell ref="A247:C247"/>
    <mergeCell ref="H247:I247"/>
    <mergeCell ref="J247:K247"/>
    <mergeCell ref="A248:C248"/>
    <mergeCell ref="H248:I248"/>
    <mergeCell ref="J248:K248"/>
    <mergeCell ref="A249:C249"/>
    <mergeCell ref="H249:I249"/>
    <mergeCell ref="J249:K249"/>
    <mergeCell ref="A250:C250"/>
    <mergeCell ref="H250:I250"/>
    <mergeCell ref="J250:K250"/>
    <mergeCell ref="A251:C251"/>
    <mergeCell ref="H251:I251"/>
    <mergeCell ref="J251:K251"/>
    <mergeCell ref="A252:C252"/>
    <mergeCell ref="H252:I252"/>
    <mergeCell ref="J252:K252"/>
    <mergeCell ref="A253:C253"/>
    <mergeCell ref="H253:I253"/>
    <mergeCell ref="J253:K253"/>
    <mergeCell ref="A254:C254"/>
    <mergeCell ref="H254:I254"/>
    <mergeCell ref="J254:K254"/>
    <mergeCell ref="A255:C255"/>
    <mergeCell ref="H255:I255"/>
    <mergeCell ref="J255:K255"/>
    <mergeCell ref="A256:C256"/>
    <mergeCell ref="H256:I256"/>
    <mergeCell ref="J256:K256"/>
    <mergeCell ref="A257:C257"/>
    <mergeCell ref="H257:I257"/>
    <mergeCell ref="J257:K257"/>
    <mergeCell ref="A258:C258"/>
    <mergeCell ref="H258:I258"/>
    <mergeCell ref="J258:K258"/>
    <mergeCell ref="A259:C259"/>
    <mergeCell ref="H259:I259"/>
    <mergeCell ref="J259:K259"/>
    <mergeCell ref="A260:C260"/>
    <mergeCell ref="H260:I260"/>
    <mergeCell ref="J260:K260"/>
    <mergeCell ref="A261:C261"/>
    <mergeCell ref="H261:I261"/>
    <mergeCell ref="J261:K261"/>
    <mergeCell ref="A262:C262"/>
    <mergeCell ref="H262:I262"/>
    <mergeCell ref="J262:K262"/>
    <mergeCell ref="A263:C263"/>
    <mergeCell ref="H263:I263"/>
    <mergeCell ref="J263:K263"/>
    <mergeCell ref="A264:C264"/>
    <mergeCell ref="H264:I264"/>
    <mergeCell ref="J264:K264"/>
    <mergeCell ref="A265:C265"/>
    <mergeCell ref="H265:I265"/>
    <mergeCell ref="J265:K265"/>
    <mergeCell ref="A266:C266"/>
    <mergeCell ref="H266:I266"/>
    <mergeCell ref="J266:K266"/>
    <mergeCell ref="A267:C267"/>
    <mergeCell ref="H267:I267"/>
    <mergeCell ref="J267:K267"/>
    <mergeCell ref="A268:C268"/>
    <mergeCell ref="H268:I268"/>
    <mergeCell ref="J268:K268"/>
    <mergeCell ref="A269:C269"/>
    <mergeCell ref="H269:I269"/>
    <mergeCell ref="J269:K269"/>
    <mergeCell ref="A270:C270"/>
    <mergeCell ref="H270:I270"/>
    <mergeCell ref="J270:K270"/>
    <mergeCell ref="A271:C271"/>
    <mergeCell ref="H271:I271"/>
    <mergeCell ref="J271:K271"/>
    <mergeCell ref="A272:C272"/>
    <mergeCell ref="H272:I272"/>
    <mergeCell ref="J272:K272"/>
    <mergeCell ref="A273:C273"/>
    <mergeCell ref="H273:I273"/>
    <mergeCell ref="J273:K273"/>
    <mergeCell ref="A274:C274"/>
    <mergeCell ref="H274:I274"/>
    <mergeCell ref="J274:K274"/>
    <mergeCell ref="A275:C275"/>
    <mergeCell ref="H275:I275"/>
    <mergeCell ref="J275:K275"/>
    <mergeCell ref="A276:C276"/>
    <mergeCell ref="H276:I276"/>
    <mergeCell ref="J276:K276"/>
    <mergeCell ref="A277:C277"/>
    <mergeCell ref="H277:I277"/>
    <mergeCell ref="J277:K277"/>
    <mergeCell ref="A278:C278"/>
    <mergeCell ref="H278:I278"/>
    <mergeCell ref="J278:K278"/>
    <mergeCell ref="A279:C279"/>
    <mergeCell ref="H279:I279"/>
    <mergeCell ref="J279:K279"/>
    <mergeCell ref="A280:C280"/>
    <mergeCell ref="H280:I280"/>
    <mergeCell ref="J280:K280"/>
    <mergeCell ref="A281:C281"/>
    <mergeCell ref="H281:I281"/>
    <mergeCell ref="J281:K281"/>
    <mergeCell ref="A282:C282"/>
    <mergeCell ref="H282:I282"/>
    <mergeCell ref="J282:K282"/>
    <mergeCell ref="A283:C283"/>
    <mergeCell ref="H283:I283"/>
    <mergeCell ref="J283:K283"/>
    <mergeCell ref="A284:C284"/>
    <mergeCell ref="H284:I284"/>
    <mergeCell ref="J284:K284"/>
    <mergeCell ref="A285:C285"/>
    <mergeCell ref="H285:I285"/>
    <mergeCell ref="J285:K285"/>
    <mergeCell ref="A286:C286"/>
    <mergeCell ref="H286:I286"/>
    <mergeCell ref="J286:K286"/>
    <mergeCell ref="A287:C287"/>
    <mergeCell ref="H287:I287"/>
    <mergeCell ref="J287:K287"/>
    <mergeCell ref="A288:C288"/>
    <mergeCell ref="H288:I288"/>
    <mergeCell ref="J288:K288"/>
    <mergeCell ref="A289:C289"/>
    <mergeCell ref="H289:I289"/>
    <mergeCell ref="J289:K289"/>
    <mergeCell ref="A290:C290"/>
    <mergeCell ref="H290:I290"/>
    <mergeCell ref="J290:K290"/>
    <mergeCell ref="A291:C291"/>
    <mergeCell ref="H291:I291"/>
    <mergeCell ref="J291:K291"/>
    <mergeCell ref="A292:C292"/>
    <mergeCell ref="H292:I292"/>
    <mergeCell ref="J292:K292"/>
    <mergeCell ref="A293:C293"/>
    <mergeCell ref="H293:I293"/>
    <mergeCell ref="J293:K293"/>
    <mergeCell ref="A294:C294"/>
    <mergeCell ref="H294:I294"/>
    <mergeCell ref="J294:K294"/>
    <mergeCell ref="A295:C295"/>
    <mergeCell ref="H295:I295"/>
    <mergeCell ref="J295:K295"/>
    <mergeCell ref="A296:C296"/>
    <mergeCell ref="H296:I296"/>
    <mergeCell ref="J296:K296"/>
    <mergeCell ref="A297:C297"/>
    <mergeCell ref="H297:I297"/>
    <mergeCell ref="J297:K297"/>
    <mergeCell ref="A298:C298"/>
    <mergeCell ref="H298:I298"/>
    <mergeCell ref="J298:K298"/>
    <mergeCell ref="A299:C299"/>
    <mergeCell ref="H299:I299"/>
    <mergeCell ref="J299:K299"/>
    <mergeCell ref="A300:C300"/>
    <mergeCell ref="H300:I300"/>
    <mergeCell ref="J300:K300"/>
    <mergeCell ref="A301:C301"/>
    <mergeCell ref="H301:I301"/>
    <mergeCell ref="J301:K301"/>
    <mergeCell ref="A302:C302"/>
    <mergeCell ref="H302:I302"/>
    <mergeCell ref="J302:K302"/>
    <mergeCell ref="A303:C303"/>
    <mergeCell ref="H303:I303"/>
    <mergeCell ref="J303:K303"/>
    <mergeCell ref="A304:C304"/>
    <mergeCell ref="H304:I304"/>
    <mergeCell ref="J304:K304"/>
    <mergeCell ref="A305:C305"/>
    <mergeCell ref="H305:I305"/>
    <mergeCell ref="J305:K305"/>
    <mergeCell ref="A306:C306"/>
    <mergeCell ref="H306:I306"/>
    <mergeCell ref="J306:K306"/>
    <mergeCell ref="A307:C307"/>
    <mergeCell ref="H307:I307"/>
    <mergeCell ref="J307:K307"/>
    <mergeCell ref="A308:C308"/>
    <mergeCell ref="H308:I308"/>
    <mergeCell ref="J308:K308"/>
    <mergeCell ref="A309:C309"/>
    <mergeCell ref="H309:I309"/>
    <mergeCell ref="J309:K309"/>
    <mergeCell ref="A310:C310"/>
    <mergeCell ref="H310:I310"/>
    <mergeCell ref="J310:K310"/>
    <mergeCell ref="A311:C311"/>
    <mergeCell ref="H311:I311"/>
    <mergeCell ref="J311:K311"/>
    <mergeCell ref="A312:C312"/>
    <mergeCell ref="H312:I312"/>
    <mergeCell ref="J312:K312"/>
    <mergeCell ref="A313:C313"/>
    <mergeCell ref="H313:I313"/>
    <mergeCell ref="J313:K313"/>
    <mergeCell ref="A314:C314"/>
    <mergeCell ref="H314:I314"/>
    <mergeCell ref="J314:K314"/>
    <mergeCell ref="A315:C315"/>
    <mergeCell ref="H315:I315"/>
    <mergeCell ref="J315:K315"/>
    <mergeCell ref="A316:C316"/>
    <mergeCell ref="H316:I316"/>
    <mergeCell ref="J316:K316"/>
    <mergeCell ref="A317:C317"/>
    <mergeCell ref="H317:I317"/>
    <mergeCell ref="J317:K317"/>
    <mergeCell ref="A318:C318"/>
    <mergeCell ref="H318:I318"/>
    <mergeCell ref="J318:K318"/>
    <mergeCell ref="A319:C319"/>
    <mergeCell ref="H319:I319"/>
    <mergeCell ref="J319:K319"/>
    <mergeCell ref="A320:C320"/>
    <mergeCell ref="H320:I320"/>
    <mergeCell ref="J320:K320"/>
    <mergeCell ref="A321:N321"/>
  </mergeCells>
  <printOptions/>
  <pageMargins left="0.09861111111111112" right="0.09861111111111112" top="0.39375" bottom="0.39375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