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" sheetId="1" r:id="rId1"/>
    <sheet name="DS1" sheetId="2" state="hidden" r:id="rId2"/>
  </sheets>
  <definedNames>
    <definedName name="__bookmark_1">'Report'!$A$1:$K$6</definedName>
    <definedName name="__bookmark_3">'Report'!$A$7:$Q$2042</definedName>
  </definedNames>
  <calcPr fullCalcOnLoad="1"/>
</workbook>
</file>

<file path=xl/sharedStrings.xml><?xml version="1.0" encoding="utf-8"?>
<sst xmlns="http://schemas.openxmlformats.org/spreadsheetml/2006/main" count="1962" uniqueCount="1283">
  <si>
    <t>Ayuntamiento de Granadilla de Abona</t>
  </si>
  <si>
    <t>Estado de ejecución de Gastos</t>
  </si>
  <si>
    <t>Periodo: 2021</t>
  </si>
  <si>
    <t>Fecha de listado igual a: 31/12/2021</t>
  </si>
  <si>
    <t>Rem</t>
  </si>
  <si>
    <t>Código de la Partida</t>
  </si>
  <si>
    <t>Inicial</t>
  </si>
  <si>
    <t>Modificación</t>
  </si>
  <si>
    <t>Actual</t>
  </si>
  <si>
    <t>A</t>
  </si>
  <si>
    <t>D</t>
  </si>
  <si>
    <t>O</t>
  </si>
  <si>
    <t>P</t>
  </si>
  <si>
    <t>RP</t>
  </si>
  <si>
    <t>Saldo</t>
  </si>
  <si>
    <t>%</t>
  </si>
  <si>
    <t>%O /Cr</t>
  </si>
  <si>
    <t>Descripción</t>
  </si>
  <si>
    <t>Vinculación</t>
  </si>
  <si>
    <t>Inc. Rem.</t>
  </si>
  <si>
    <t>RC Pdt. + ND</t>
  </si>
  <si>
    <t>A pendiente</t>
  </si>
  <si>
    <t>D pendiente</t>
  </si>
  <si>
    <t>O pendiente</t>
  </si>
  <si>
    <t>P pendiente</t>
  </si>
  <si>
    <t>Reintegros</t>
  </si>
  <si>
    <t>Remanente</t>
  </si>
  <si>
    <t>%Ds/Cr</t>
  </si>
  <si>
    <t>%RPs/O</t>
  </si>
  <si>
    <t>01100/3100000</t>
  </si>
  <si>
    <t>DEUDA PÚBLICA-DE PRÉSTAMOS DEL INTERIOR-INTERESES.</t>
  </si>
  <si>
    <t>0*/3*</t>
  </si>
  <si>
    <t>Total Concepto  310INTERESES DE PRESTAMOS Y OP FINANCIERAS EN EUROS</t>
  </si>
  <si>
    <t>Total Grupo de Programa  011DEUDA PUBLICA</t>
  </si>
  <si>
    <t>13000/2270100</t>
  </si>
  <si>
    <t>ADM GRAL SEGURIDAD Y PROTECC CIVIL-TRABAJOS REALIZADOS.-SEGURIDAD</t>
  </si>
  <si>
    <t>13*/22*</t>
  </si>
  <si>
    <t>Total Concepto  227TRABAJOS REALIZADOS POR OT EMPRESAS Y PROFESIONALE</t>
  </si>
  <si>
    <t>Total Grupo de Programa  130ADM. GRAL DE LA SEGURIDAD Y PROTECCION CIVIL</t>
  </si>
  <si>
    <t>13200/1200600</t>
  </si>
  <si>
    <t>SEGURIDAD Y ORDEN PÚBLICO. TRIENIOS</t>
  </si>
  <si>
    <t>1*/1*</t>
  </si>
  <si>
    <t>13200/1200400</t>
  </si>
  <si>
    <t>SEGURIDAD Y ORDEN PÚBLICO. SUELDOS GRUPO C2</t>
  </si>
  <si>
    <t>13200/1200300</t>
  </si>
  <si>
    <t>SEGURIDAD Y ORDEN PÚBLICO. SUELDOS GRUPO C1</t>
  </si>
  <si>
    <t>13200/1200100</t>
  </si>
  <si>
    <t>SEGURIDAD-SUELDOS GRUPO A2</t>
  </si>
  <si>
    <t>Total Concepto  120RETRIBUCIONES BASICAS</t>
  </si>
  <si>
    <t>13200/1210300</t>
  </si>
  <si>
    <t>SEGURIDAD Y ORDEN PÚBLICO. OTROS COMPLEMENTOS</t>
  </si>
  <si>
    <t>13200/1210100</t>
  </si>
  <si>
    <t>SEGURIDAD Y ORDEN PÚBLICO. COMPLEMENTO ESPECÍFICO</t>
  </si>
  <si>
    <t>13200/1210101</t>
  </si>
  <si>
    <t>SEGURIDAD Y ORDEN PÚBLICO. COMPLEMENTO ESPECIFICO VARIABLE</t>
  </si>
  <si>
    <t>13200/1210000</t>
  </si>
  <si>
    <t>SEGURIDAD Y ORDEN PÚBLICO. COMPLEMENTO DESTINO</t>
  </si>
  <si>
    <t>Total Concepto  121RETRIBUCIONES COMPLEMENTARIAS</t>
  </si>
  <si>
    <t>13200/1310000</t>
  </si>
  <si>
    <t>SEGURIDAD Y ORDEN PÚBLICO. RETRIBUCIONES</t>
  </si>
  <si>
    <t>Total Concepto  131LABORAL LABORAL TEMPORAL</t>
  </si>
  <si>
    <t>13200/1510000</t>
  </si>
  <si>
    <t>SEGURIDAD Y ORDEN PÚBLICO. GRATIFICACIONES FUNCIONARIOS</t>
  </si>
  <si>
    <t>Total Concepto  151GRATIFICACIONES</t>
  </si>
  <si>
    <t>13200/1600200</t>
  </si>
  <si>
    <t>SEGURIDAD Y ORDEN PÚBLICO.-SEGURIDAD SOCIAL.- PERSONAL FUNCI</t>
  </si>
  <si>
    <t>13200/1600300</t>
  </si>
  <si>
    <t>SEGURIDAD Y ORDEN PÚBLICO.-SEGURIDAD SOCIAL.- PERSONAL LABOR</t>
  </si>
  <si>
    <t>Total Concepto  160CUOTAS SOCIALES</t>
  </si>
  <si>
    <t>13200/2040000</t>
  </si>
  <si>
    <t>SEGURIDAD Y ORDEN PÚBLICO- ARRENDAMIENTOS-VEHICULOS</t>
  </si>
  <si>
    <t>13*/20*</t>
  </si>
  <si>
    <t>Total Concepto  204MATERIAL DE TRANSPORTE</t>
  </si>
  <si>
    <t>13200/2120000</t>
  </si>
  <si>
    <t>SEGURIDAD Y ORDEN PÚBLICO- REPARACIÓN, MANTEN.-EDIFICIOS</t>
  </si>
  <si>
    <t>13*/21*</t>
  </si>
  <si>
    <t>Total Concepto  212EDIFICIOS Y OTRAS CONSTRUCCIONES</t>
  </si>
  <si>
    <t>13200/2130000</t>
  </si>
  <si>
    <t>SEGURIDAD Y ORDEN PÚBLICO- REPARACIÓN, MANT.-MAQUINARIA</t>
  </si>
  <si>
    <t>Total Concepto  213MAQUINARIA INSTALACIONES Y UTILLAJE</t>
  </si>
  <si>
    <t>13200/2140000</t>
  </si>
  <si>
    <t>SEGURIDAD Y ORDEN PÚBLICO-REPARACIÓN,  MANT.-VEHICULOS</t>
  </si>
  <si>
    <t>Total Concepto  214MATERIAL DE TRANSPORTE</t>
  </si>
  <si>
    <t>2020</t>
  </si>
  <si>
    <t>13200/2210420</t>
  </si>
  <si>
    <t>SEGURIDAD Y ORDEN PÚBLICO-SUMINISTROS-VESTUARIOS</t>
  </si>
  <si>
    <t>13200/2210420(2020)</t>
  </si>
  <si>
    <t>13200/2210400</t>
  </si>
  <si>
    <t>13200/2210500</t>
  </si>
  <si>
    <t>SEGURIDAD Y ORDEN PÚBLICO-SUMINISTROS- PRODUCTOS ALIMENTICIO</t>
  </si>
  <si>
    <t>13200/2219900</t>
  </si>
  <si>
    <t>SEGURIDAD Y ORDEN PÚBLICO-MATERIAL Y SUMINISTROS VARIOS</t>
  </si>
  <si>
    <t>Total Concepto  221SUMINISTROS</t>
  </si>
  <si>
    <t>13200/2240000</t>
  </si>
  <si>
    <t>SEGURIDAD Y ORDEN PÚBLICO-PRIMAS DE SEGUROS</t>
  </si>
  <si>
    <t>Total Concepto  224PRIMAS DE SEGUROS</t>
  </si>
  <si>
    <t>13200/2279900</t>
  </si>
  <si>
    <t>SEGURIDAD Y ORDEN PÚBLICO - TRABAJOS REALIZADOS POR OTRAS EM</t>
  </si>
  <si>
    <t>13200/6230020</t>
  </si>
  <si>
    <t>SEGURIDAD Y ORDEN PÚBLICO-INVERSIONES NUEVAS.-CHALECOS,EMISORAS,CASCOS</t>
  </si>
  <si>
    <t>13200/6230020(2020)</t>
  </si>
  <si>
    <t>13200/6230100</t>
  </si>
  <si>
    <t>SEGURIDAD Y ORDEN PÚBLICO-INVER NUEVAS ASOCIADAS AL FUNCIONAMIENTO OPERATIVO</t>
  </si>
  <si>
    <t>13*/62*</t>
  </si>
  <si>
    <t>13200/6230000</t>
  </si>
  <si>
    <t>SEGURIDAD Y ORDEN PÚBLICO-INVER NUEVAS.-CHALECOS,EMISORAS, CASCOS...</t>
  </si>
  <si>
    <t>Total Concepto  623MAQUINARIA INSTALACIONES Y UTILLAJE</t>
  </si>
  <si>
    <t>13200/6240020</t>
  </si>
  <si>
    <t>SEGURIDAD Y ORDEN PÚBLICO-INVERS N ASOC.-MOTOCICLETAS</t>
  </si>
  <si>
    <t>13200/6240020(2020)</t>
  </si>
  <si>
    <t>Total Concepto  624MATERIAL DE TRANSPORTE</t>
  </si>
  <si>
    <t>Total Grupo de Programa  132SEGURIDAD Y ORDEN PUBLICO</t>
  </si>
  <si>
    <t>13500/1620500</t>
  </si>
  <si>
    <t>PROTECCION CIVIL.-SEGUROS VOLUNTARIOS</t>
  </si>
  <si>
    <t>Total Concepto  162GASTOS SOCIALES DEL PERSONAL</t>
  </si>
  <si>
    <t>13500/2140000</t>
  </si>
  <si>
    <t>PROTECCIÓN CIVIL - REPARACIÓN, MANT.-VEHICULOS</t>
  </si>
  <si>
    <t>13500/2219900</t>
  </si>
  <si>
    <t>PROTECCIÓN CIVIL - GASTOS DIVERSOS DIVERSO FUNCIONAMIENTO</t>
  </si>
  <si>
    <t>13500/2210400</t>
  </si>
  <si>
    <t>PROTECCIÓN CIVIL - SUMINISTROS - VESTUARIOS.</t>
  </si>
  <si>
    <t>13500/2210300</t>
  </si>
  <si>
    <t>PROTECCIÓN CIVIL-SUMINISTROS - COMBUSTIBLE Y CARBURANTE</t>
  </si>
  <si>
    <t>13500/2269900</t>
  </si>
  <si>
    <t>Total Concepto  226GASTOS DIVERSOS</t>
  </si>
  <si>
    <t>13500/2279920</t>
  </si>
  <si>
    <t>PROTECCIÓN CIVIL. OTROS TRAB REALIZADOS POR EMPRESAS Y PROFE</t>
  </si>
  <si>
    <t>13500/2279920(2020)</t>
  </si>
  <si>
    <t>13500/2279900</t>
  </si>
  <si>
    <t>13500/2300200</t>
  </si>
  <si>
    <t>PROTECCION CIVIL-DIETAS DEL VOLUNTARIADO</t>
  </si>
  <si>
    <t>13*/23*</t>
  </si>
  <si>
    <t>Total Concepto  230DIETAS</t>
  </si>
  <si>
    <t>13500/6230000</t>
  </si>
  <si>
    <t>PROTECCIÓN CIVIL- INVERSION NUEVA.- MAQUINARIA</t>
  </si>
  <si>
    <t>Total Grupo de Programa  135PROTECCION CIVIL</t>
  </si>
  <si>
    <t>13600/4670000</t>
  </si>
  <si>
    <t>SERVICIO PREVENCION.-TRANSF ADM PÚB-A ENTIDADES LOCALES-A CONSORCIOS.(CONS</t>
  </si>
  <si>
    <t>13*/46*</t>
  </si>
  <si>
    <t>Total Concepto  467A CONSORCIOS</t>
  </si>
  <si>
    <t>Total Grupo de Programa  136Servicio de prevención y extinción de incendios</t>
  </si>
  <si>
    <t>15100/1200600</t>
  </si>
  <si>
    <t>URBANISMO-TRIENIOS</t>
  </si>
  <si>
    <t>15100/1200400</t>
  </si>
  <si>
    <t>URBANISMO-SUELDOS GRUPO C2</t>
  </si>
  <si>
    <t>15100/1200300</t>
  </si>
  <si>
    <t>URBANISMO-SUELDOS GRUPO C1</t>
  </si>
  <si>
    <t>15100/1200100</t>
  </si>
  <si>
    <t>URBANISMO-SUELDOS GRUPO A2</t>
  </si>
  <si>
    <t>15100/1200000</t>
  </si>
  <si>
    <t>URBANISMO-SUELDOS GRUPO A1</t>
  </si>
  <si>
    <t>15100/1210000</t>
  </si>
  <si>
    <t>URBANISMO-COMPLEMENTO DESTINO</t>
  </si>
  <si>
    <t>15100/1210100</t>
  </si>
  <si>
    <t>URBANISMO-COMPLEMENTO ESPECÍFICO</t>
  </si>
  <si>
    <t>15100/1210300</t>
  </si>
  <si>
    <t>URBANISMO-OTROS COMPLEMENTOS</t>
  </si>
  <si>
    <t>15100/1300000</t>
  </si>
  <si>
    <t>URBANISMO-RETRIBUCIONES BÁSICAS</t>
  </si>
  <si>
    <t>15100/1300200</t>
  </si>
  <si>
    <t>URBANISMO-OTRAS REMUNERACIONES</t>
  </si>
  <si>
    <t>Total Concepto  130LABORAL FIJO</t>
  </si>
  <si>
    <t>15100/1310000</t>
  </si>
  <si>
    <t>URBANISMO-RETRIBUCIONES</t>
  </si>
  <si>
    <t>15100/1600200</t>
  </si>
  <si>
    <t>URBANISMO-SEGURIDAD SOCIAL.- PERSONAL FUNCIONARIO</t>
  </si>
  <si>
    <t>15100/1600300</t>
  </si>
  <si>
    <t>URBANISMO-SEGURIDAD SOCIAL.- PERSONAL LABORAL TEMPORAL</t>
  </si>
  <si>
    <t>15100/1600400</t>
  </si>
  <si>
    <t>URBANISMO-SEGURIDAD SOCIAL.- PERSONAL LABORAL FIJO</t>
  </si>
  <si>
    <t>15100/2100000</t>
  </si>
  <si>
    <t>URBANISMO- REPARACIÓN Y MANTENIMIENTO DE INFRAESTRUCTURAS Y</t>
  </si>
  <si>
    <t>15*/21*</t>
  </si>
  <si>
    <t>Total Concepto  210INFRAESTRUCTURA Y BIENES NATURALES</t>
  </si>
  <si>
    <t>15100/2140000</t>
  </si>
  <si>
    <t>URBANISMO-REPARACIÓN,  MANTENIMIENTO.- VEHICULOS</t>
  </si>
  <si>
    <t>15100/2210400</t>
  </si>
  <si>
    <t>URBANISMO-SUMINISTROS-VESTUARIOS</t>
  </si>
  <si>
    <t>15*/22*</t>
  </si>
  <si>
    <t>15100/2219900</t>
  </si>
  <si>
    <t>URBANISMO-MATERIAL Y SUMINISTROS VARIOS</t>
  </si>
  <si>
    <t>15100/2230000</t>
  </si>
  <si>
    <t>URBANISMO - TRANSPORTES</t>
  </si>
  <si>
    <t>Total Concepto  223TRANSPORTES</t>
  </si>
  <si>
    <t>15100/2240000</t>
  </si>
  <si>
    <t>URBANISMO-PRIMAS DE SEGUROS</t>
  </si>
  <si>
    <t>15100/2269900</t>
  </si>
  <si>
    <t>URBANISMO-GASTOS DIVERSOS-DAÑOS A TERCEROS</t>
  </si>
  <si>
    <t>15100/2270600</t>
  </si>
  <si>
    <t>URBANISMO-TRABAJOS REALIZADOS OTRAS EMPRESAS-ESTUDIOS Y TRAB</t>
  </si>
  <si>
    <t>15100/2279900</t>
  </si>
  <si>
    <t>URBANISMO-OTROS TRABAJOS REALIZADOS OTRAS EMPRESAS</t>
  </si>
  <si>
    <t>15100/2270620</t>
  </si>
  <si>
    <t>15100/2270620(2020)</t>
  </si>
  <si>
    <t>15100/4539000</t>
  </si>
  <si>
    <t>URBANISMO.-Transferencias a Sdad Mercantil, EEPP de CCAA</t>
  </si>
  <si>
    <t>15*/45*</t>
  </si>
  <si>
    <t>Total Concepto  453A SOCIEDADES MERCANTILES, EEPP EMPRESARIALES DE C.C.A.A.</t>
  </si>
  <si>
    <t>15100/6090020</t>
  </si>
  <si>
    <t>URBANISMO- MURO CUEVA LA MORA</t>
  </si>
  <si>
    <t>15100/6090020(2020)</t>
  </si>
  <si>
    <t>Total Concepto  609OTRAS INVERSIONES</t>
  </si>
  <si>
    <t>15100/6190000</t>
  </si>
  <si>
    <t>URBANISMO.-Plaza Ramón y Cajal.- Reconocimiento Extrajudicial</t>
  </si>
  <si>
    <t>15*/61*</t>
  </si>
  <si>
    <t>15100/6190200</t>
  </si>
  <si>
    <t>URBANISMO.-PLAN DE ASFALTADO LOS ABRIGOS</t>
  </si>
  <si>
    <t>15100/6190020</t>
  </si>
  <si>
    <t>URBANISMO.-PASEO SAN BLAS, LOS ABRILGOS"</t>
  </si>
  <si>
    <t>15100/6190020(2020)</t>
  </si>
  <si>
    <t>Total Concepto  619OTRAS INVERSIONES</t>
  </si>
  <si>
    <t>Total Grupo de Programa  151URBANISMO</t>
  </si>
  <si>
    <t>15320/2219900</t>
  </si>
  <si>
    <t>PAVIMENTACIÓN DE VÍAS PÚBLICAS-MATERIAL Y SUMINISTROS VARIOS</t>
  </si>
  <si>
    <t>15320/6190100</t>
  </si>
  <si>
    <t>PAVIMENTACION VIAS PUBLICAS.-Repavimentación C/Alejandrino</t>
  </si>
  <si>
    <t>15320/6190500</t>
  </si>
  <si>
    <t>PAVIMENTACION VIAS PUBLICAS.-Repavimentación C/Charcay</t>
  </si>
  <si>
    <t>15320/6190400</t>
  </si>
  <si>
    <t>PAVIMENTACION VIAS PUBLICAS.-Repavimentación C/San Luis</t>
  </si>
  <si>
    <t>15320/6190300</t>
  </si>
  <si>
    <t>PAVIMENTACION VIAS PUBLICAS.-Repavimentación C/Calzadas, Cerquito</t>
  </si>
  <si>
    <t>15320/6190200</t>
  </si>
  <si>
    <t>PAVIMENTACION VIAS PUBLICAS.-Repavimentación C/Buen Viaje</t>
  </si>
  <si>
    <t>15320/6190600</t>
  </si>
  <si>
    <t>PAVIMENTACION VIAS PUBLICAS.-Repavimentación C/Bajamar</t>
  </si>
  <si>
    <t>15320/6190000</t>
  </si>
  <si>
    <t>PAVIMENTACION VIAS PUBLICAS.- ASFALTADO DE MEDIANIAS</t>
  </si>
  <si>
    <t>Total Grupo de Programa  153VIAS PUBLICAS</t>
  </si>
  <si>
    <t>16000/2270600</t>
  </si>
  <si>
    <t>ALCANTARILLADO -TRABAJOS REALIZADOS OTRAS EMPRESAS.</t>
  </si>
  <si>
    <t>16000/2279900</t>
  </si>
  <si>
    <t>16*/22*</t>
  </si>
  <si>
    <t>Total Grupo de Programa  160Alcantarillado</t>
  </si>
  <si>
    <t>16100/2270600</t>
  </si>
  <si>
    <t>ABASTECIMIENTO DOMICILIARIO DE AGUA POTABLE-TRABAJOS REALIZA</t>
  </si>
  <si>
    <t>16100/6190100</t>
  </si>
  <si>
    <t>ABAST. AGUA -PLAN COOPERACIÓN.- RED INTERIOR S.I. Y COLECTOR MÉDANO</t>
  </si>
  <si>
    <t>16100/6190220</t>
  </si>
  <si>
    <t>ABAST. AGUA -AMPLIACION Y MEJORA RED ABAST. LOTE I y II CABILDO</t>
  </si>
  <si>
    <t>16100/6190220(2020)</t>
  </si>
  <si>
    <t>16101/6190120</t>
  </si>
  <si>
    <t>ABAST. AGUA -AMPLIACION Y MEJORA RED ABAST. CHARCO DEL PINO</t>
  </si>
  <si>
    <t>16101/6190120(2020)</t>
  </si>
  <si>
    <t>16100/6190000</t>
  </si>
  <si>
    <t>ABAST. AGUA -AMPLIACION Y MEJORA RED GRAL EL MEDANO</t>
  </si>
  <si>
    <t>16*/61*</t>
  </si>
  <si>
    <t>Total Grupo de Programa  161ABASTECIMIENTO DOMICILIARIO DE AGUA POTABLE</t>
  </si>
  <si>
    <t>16210/2230000</t>
  </si>
  <si>
    <t>RECOGIDA DE RESIDUOS SÓLIDOS - TRASPORTES</t>
  </si>
  <si>
    <t>16210/2250200</t>
  </si>
  <si>
    <t>RECOGIDA GESTIÓN Y TRATAMIENTO DE RESIDUOS-TRIBUTOS. (TASA T</t>
  </si>
  <si>
    <t>Total Concepto  225TRIBUTOS</t>
  </si>
  <si>
    <t>16210/2270600</t>
  </si>
  <si>
    <t>RECOGIDA GESTIÓN Y TRATAMIENTO DE RESIDUOS-GESTIÓN DE RESIDU</t>
  </si>
  <si>
    <t>16211/2279900</t>
  </si>
  <si>
    <t>RECOGIDA DE RESIDUOS SÓLIDOS - ENCOMIENDA DE GESTIÓN DE RESI</t>
  </si>
  <si>
    <t>Total Grupo de Programa  162RECOGIDA, GESTION Y TRATAMIENTO DE RESIDUOS</t>
  </si>
  <si>
    <t>16311/2279900</t>
  </si>
  <si>
    <t>LIMPIEZA VIARIA -ENCOMIENDA SERVICIO DE LIMPIEZA VIARIA Y PL</t>
  </si>
  <si>
    <t>Total Grupo de Programa  163LIMPIEZA VIARIA</t>
  </si>
  <si>
    <t>16400/1310000</t>
  </si>
  <si>
    <t>CEMENTERIO Y SERVICIOS FUNERARIOS-RETRIBUCIONES</t>
  </si>
  <si>
    <t>16400/1430000</t>
  </si>
  <si>
    <t>Total Concepto  143OTRO PERSONAL</t>
  </si>
  <si>
    <t>16400/1600500</t>
  </si>
  <si>
    <t>CEMENTERIO Y SERVICIOS FUNERARIOS-SEGURIDAD SOCIAL.- PERSONA</t>
  </si>
  <si>
    <t>16400/1600300</t>
  </si>
  <si>
    <t>16400/2020000</t>
  </si>
  <si>
    <t>CEMENTERIO Y SERVICIOS FUNERARIOS- ARRENDAMIENTOS- EDIFICIOS</t>
  </si>
  <si>
    <t>16*/20*</t>
  </si>
  <si>
    <t>Total Concepto  202EDIFICIOS Y OTRAS CONSTRUCCIONES</t>
  </si>
  <si>
    <t>16400/2120000</t>
  </si>
  <si>
    <t>CEMENTERIO Y SERV.FUNERARIOS-REPARACIÓN.-EDIFICIOS</t>
  </si>
  <si>
    <t>16*/21*</t>
  </si>
  <si>
    <t>16400/2210000</t>
  </si>
  <si>
    <t>CEMENTERIO Y SERVICIOS FUNERARIOS-SUMINISTRO-ENERGÍA ELÉCTRI</t>
  </si>
  <si>
    <t>16400/2219900</t>
  </si>
  <si>
    <t>CEMENTERIO Y SERVICIOS FUNERARIOS-OTROS SUMINISTROS</t>
  </si>
  <si>
    <t>16400/2211000</t>
  </si>
  <si>
    <t>CEMENTERIO Y SERV FUNERARIOS-SUMINISTROS-PRODUCTOS LIMPIEZA</t>
  </si>
  <si>
    <t>16400/6320100</t>
  </si>
  <si>
    <t>CEMENTERIO.-AMPLIACION PATIO SAN BLAS</t>
  </si>
  <si>
    <t>16*/63*</t>
  </si>
  <si>
    <t>16400/6320200</t>
  </si>
  <si>
    <t>CEMENTERIO.-AMPLIACION CEMENTERIO, FASE XII</t>
  </si>
  <si>
    <t>Total Concepto  632INVER.REPOS.ASOC.FUNC.OPER.SS.-EDIFICIOS Y OTRAS C</t>
  </si>
  <si>
    <t>16400/6410000</t>
  </si>
  <si>
    <t>CEMENTERIO - SOFTWARE DE GESTION DEL CEMENTERIO</t>
  </si>
  <si>
    <t>16*/64*</t>
  </si>
  <si>
    <t>Total Concepto  641GASTOS EN APLICACIONES INFORMATICAS</t>
  </si>
  <si>
    <t>Total Grupo de Programa  164CEMENTERIO Y SERVICIOS FUNERARIOS</t>
  </si>
  <si>
    <t>16500/1200100</t>
  </si>
  <si>
    <t>ALUMB PUB.-SUELDOS GRUPO A2</t>
  </si>
  <si>
    <t>16500/1210300</t>
  </si>
  <si>
    <t>ALUMB PUB.-OTROS COMPLEMENTOS</t>
  </si>
  <si>
    <t>16500/1210100</t>
  </si>
  <si>
    <t>ALUMB PUB.-COMPLEMENTO ESPECÍFICO</t>
  </si>
  <si>
    <t>16500/1210000</t>
  </si>
  <si>
    <t>ALUMB PUB.-COMPLEMENTO DESTINO</t>
  </si>
  <si>
    <t>16500/1600200</t>
  </si>
  <si>
    <t>ALUMB PUB.-SEGURIDAD SOCIAL.- PERSONAL FUNCIONARIO</t>
  </si>
  <si>
    <t>16500/2030000</t>
  </si>
  <si>
    <t>ALUMBRADO PÚBLICO ¿ ARRENDAMIENTOS -MAQUINARIA, INSTALACIONE</t>
  </si>
  <si>
    <t>Total Concepto  203MAQUINARIA INSTALACIONES Y UTILLAJE</t>
  </si>
  <si>
    <t>16500/2210000</t>
  </si>
  <si>
    <t>ALUMBRADO PÚBLICO-SUMINISTRO-ENERGÍA ELÉCTRICA</t>
  </si>
  <si>
    <t>16500/2279920</t>
  </si>
  <si>
    <t>ALUMBRADO PÚBLICO.-OTROSTRABAJOS REALIZADOS OTEMPRESAS</t>
  </si>
  <si>
    <t>16500/2279920(2020)</t>
  </si>
  <si>
    <t>16500/2279900</t>
  </si>
  <si>
    <t>16501/2279920</t>
  </si>
  <si>
    <t>16501/2279920(2020)</t>
  </si>
  <si>
    <t>16500/6250000</t>
  </si>
  <si>
    <t>ALUMB PUB.-MOBILIARIO.- ALUMBRADO NAVIDEÑO</t>
  </si>
  <si>
    <t>16*/62*</t>
  </si>
  <si>
    <t>Total Concepto  625MOBILIARIO Y ENSERES</t>
  </si>
  <si>
    <t>Total Grupo de Programa  165ALUMBRADO PUBLICO</t>
  </si>
  <si>
    <t>17000/1200400</t>
  </si>
  <si>
    <t>ADM GRAL MEDIO AMBIENTE.-SUELDOS GRUPO C2</t>
  </si>
  <si>
    <t>17000/1210300</t>
  </si>
  <si>
    <t>ADM GRAL MEDIO AMBIENTE.-OTROS COMPLEMENTOS</t>
  </si>
  <si>
    <t>17000/1210000</t>
  </si>
  <si>
    <t>AFDM GRAL MEDIO AMBIENTE.-COMPLEMENTO DESTINO</t>
  </si>
  <si>
    <t>17000/1210100</t>
  </si>
  <si>
    <t>ADM GRAL MEDIO AMBIENTE.-COMPLEMENTO ESPECÍFICO</t>
  </si>
  <si>
    <t>17000/1310000</t>
  </si>
  <si>
    <t>ADMINISTRACIÓN GENERAL DEL MEDIO AMBIENTE -RETRIBUCONES</t>
  </si>
  <si>
    <t>17000/1600300</t>
  </si>
  <si>
    <t>ADMINISTRACIÓN GENERAL DEL MEDIO AMBIENTE -SEGURIDAD SOCIAL.</t>
  </si>
  <si>
    <t>17000/1600200</t>
  </si>
  <si>
    <t>ADM GRAL MEDIO AMBIENTE.-SEGURIDAD SOCIAL.- PERSONAL FUNC</t>
  </si>
  <si>
    <t>17000/2120000</t>
  </si>
  <si>
    <t>ADM GRAL MEDIO AMBIENTE-REPARACIÓN, MANT-EDIFICIOS</t>
  </si>
  <si>
    <t>17*/21*</t>
  </si>
  <si>
    <t>17000/2279900</t>
  </si>
  <si>
    <t>ADM GENERAL MEDIO AMBIENTE-PROTECCIÓN-OTROS TRABAJOS</t>
  </si>
  <si>
    <t>17*/22*</t>
  </si>
  <si>
    <t>Total Grupo de Programa  170ADM. GRAL. DE MEDIO AMBIENTE</t>
  </si>
  <si>
    <t>17100/2100000</t>
  </si>
  <si>
    <t>PARQUES Y JARDINES -REPARACIÓN,  MANTENIMIENTO Y CONSERVACIÓ</t>
  </si>
  <si>
    <t>17100/2219900</t>
  </si>
  <si>
    <t>PARQUES Y JARDINES-MATERIAL Y SUMINISTROS VARIOS</t>
  </si>
  <si>
    <t>17100/2279900</t>
  </si>
  <si>
    <t>PARQUES Y JARDINES-OTROS TRABAJOS REALIZADOS- MANTENIMIENTO</t>
  </si>
  <si>
    <t>17100/2279920</t>
  </si>
  <si>
    <t>17100/2279920(2020)</t>
  </si>
  <si>
    <t>17100/6090020</t>
  </si>
  <si>
    <t>PARQUES Y JARDINES.-OTRAS INVERSIONES.-PLAZOLETA EL MENTIDERO,CHIMICHE</t>
  </si>
  <si>
    <t>17100/6090020(2020)</t>
  </si>
  <si>
    <t>17100/6221000</t>
  </si>
  <si>
    <t>PARQUES Y JARDINES.- INFANTILES, CALISTENIA, JARDINES BIOSALUDABLES</t>
  </si>
  <si>
    <t>17*/62*</t>
  </si>
  <si>
    <t>Total Concepto  622EDIFICIOS Y OTRAS CONSTRUCCIONES</t>
  </si>
  <si>
    <t>Total Grupo de Programa  171PARQUES Y JARDINES</t>
  </si>
  <si>
    <t>17200/1200100</t>
  </si>
  <si>
    <t>MEDIO AMBIENTE.-SUELDOS GRUPO A2</t>
  </si>
  <si>
    <t>17200/1210300</t>
  </si>
  <si>
    <t>MEDIO AMBIENTE.-OTROS COMPLEMENTOS</t>
  </si>
  <si>
    <t>17200/1210000</t>
  </si>
  <si>
    <t>MEDIO AMBIENTE.-COMPLEMENTO DESTINO</t>
  </si>
  <si>
    <t>17200/1210100</t>
  </si>
  <si>
    <t>MEDIO AMBIENTE.-COMPLEMENTO ESPECÍFICO</t>
  </si>
  <si>
    <t>17200/1600200</t>
  </si>
  <si>
    <t>MEDIO AMBIENTE.-SEGURIDAD SOCIAL.- PERSONAL FUNC</t>
  </si>
  <si>
    <t>17200/2000000</t>
  </si>
  <si>
    <t>PROTECCIÓN Y MEJORA DEL MEDIO AMBIENTE URBANO-ARRENDAMIENTOS</t>
  </si>
  <si>
    <t>17*/20*</t>
  </si>
  <si>
    <t>Total Concepto  200ARRENDAMIENTOS DE TERRENOS Y BIENES NATURALES</t>
  </si>
  <si>
    <t>17200/2030000</t>
  </si>
  <si>
    <t>PROTECCIÓN Y MEJORA M AMBIENTE URB-ARRENDAM MAQUINARIA</t>
  </si>
  <si>
    <t>17200/2090000</t>
  </si>
  <si>
    <t>PROTECCIÓN Y MEJORA M AMBIENTE URBO-CANONES</t>
  </si>
  <si>
    <t>Total Concepto  209CANONES</t>
  </si>
  <si>
    <t>17200/2120000</t>
  </si>
  <si>
    <t>PROTECCIÓN Y MEJORA M AMBIENTE URB.-REPARACION.-EDIFICIOS</t>
  </si>
  <si>
    <t>17200/2279900</t>
  </si>
  <si>
    <t>PROTECCIÓN Y MEJORAMEDIO AMBIENTE URBANO-OT TRABAJOS</t>
  </si>
  <si>
    <t>Total Grupo de Programa  172PROTECCION Y MEJORA DEL MEDIO AMBIENTE</t>
  </si>
  <si>
    <t>21100/1600800</t>
  </si>
  <si>
    <t>PENSIONES- ASISTENCIA MÉDICO FARMACÉUTICA A FUNCIONARIOS</t>
  </si>
  <si>
    <t>2*/1*</t>
  </si>
  <si>
    <t>21100/1610300</t>
  </si>
  <si>
    <t>PENSIONES-EXCEPCIONALES</t>
  </si>
  <si>
    <t>Total Concepto  161PRESTACIONES SOCIALES</t>
  </si>
  <si>
    <t>21110/1620000</t>
  </si>
  <si>
    <t>PENSIONES-FORMACIÓN Y PERFECCIONAMIENTO DEL PERSONAL LABORAL</t>
  </si>
  <si>
    <t>21100/1620900</t>
  </si>
  <si>
    <t>PENSIONES-OTROS GASTOS SOCIALES</t>
  </si>
  <si>
    <t>21100/1620000</t>
  </si>
  <si>
    <t>PENSIONES-FORMACIÓN Y PERFECCIONAMIENTO DEL PERSONAL FUNCION</t>
  </si>
  <si>
    <t>21100/1620400</t>
  </si>
  <si>
    <t>PENSIONES-ACCIÓN SOCIAL</t>
  </si>
  <si>
    <t>21100/1620500</t>
  </si>
  <si>
    <t>PENSIONES-SEGUROS</t>
  </si>
  <si>
    <t>Total Grupo de Programa  211PENSIONES</t>
  </si>
  <si>
    <t>23100/1200600</t>
  </si>
  <si>
    <t>ASISTENCIA SOCIAL PRIMARIA-TRIENIOS</t>
  </si>
  <si>
    <t>23100/1200400</t>
  </si>
  <si>
    <t>ASISTENCIA SOCIAL PRIMARIA-SUELDOS GRUPO C2</t>
  </si>
  <si>
    <t>23100/1200100</t>
  </si>
  <si>
    <t>ASISTENCIA SOCIAL PRIMARIA-SUELDOS GRUPO A2</t>
  </si>
  <si>
    <t>23100/1200000</t>
  </si>
  <si>
    <t>ASISTENCIA SOCIAL PRIMARIA-SUELDOS GRUPO A1</t>
  </si>
  <si>
    <t>23100/1210100</t>
  </si>
  <si>
    <t>ASISTENCIA SOCIAL PRIMARIA-COMPLEMENTO ESPECÍFICO</t>
  </si>
  <si>
    <t>23100/1210000</t>
  </si>
  <si>
    <t>ASISTENCIA SOCIAL PRIMARIA-COMPLEMENTO DESTINO</t>
  </si>
  <si>
    <t>23100/1210300</t>
  </si>
  <si>
    <t>ASISTENCIA SOCIAL PRIMARIA-OTROS COMPLEMENTO</t>
  </si>
  <si>
    <t>23100/1310000</t>
  </si>
  <si>
    <t>ASISTENCIA SOCIAL PRIMARIA-RETRIBUCIONES</t>
  </si>
  <si>
    <t>23100/1430000</t>
  </si>
  <si>
    <t>23100/1600300</t>
  </si>
  <si>
    <t>ASISTENCIA SOCIAL PRIMARIA-SEGURIDAD SOCIAL.- PERSONAL LABOR</t>
  </si>
  <si>
    <t>23100/1600500</t>
  </si>
  <si>
    <t>ASISTENCIA SOCIAL PRIMARIA-SEGURIDAD SOCIAL.- OTRO PERSONAL</t>
  </si>
  <si>
    <t>23100/1600200</t>
  </si>
  <si>
    <t>ASISTENCIA SOCIAL PRIMARIA-SEGURIDAD SOCIAL.- PERSONAL FUNCI</t>
  </si>
  <si>
    <t>23100/2120020</t>
  </si>
  <si>
    <t>ASISTENCIA SOCIAL-REPAR, MANT Y CONSER.- EDIFICIOS</t>
  </si>
  <si>
    <t>23100/2120020(2020)</t>
  </si>
  <si>
    <t>23100/2120000</t>
  </si>
  <si>
    <t>23*/21*</t>
  </si>
  <si>
    <t>23100/2130000</t>
  </si>
  <si>
    <t>ASISTENCIA SOCIAL- REPARACION Y MANT.-MAQUINARIA</t>
  </si>
  <si>
    <t>23100/2140000</t>
  </si>
  <si>
    <t>ASISTENCIA SOCIAL- REPARAC, MANT Y CONSERV. VEHICULOS</t>
  </si>
  <si>
    <t>23100/2210400</t>
  </si>
  <si>
    <t>ASISTENCIA SOCIAL PRIMARIA-SUMINISTROS-VESTUARIOS</t>
  </si>
  <si>
    <t>23*/22*</t>
  </si>
  <si>
    <t>23100/2210000</t>
  </si>
  <si>
    <t>ASISTENCIA SOCIAL PRIMARIA-SUMINISTRO-ENERGÍA ELÉCTRICA</t>
  </si>
  <si>
    <t>23100/2210200</t>
  </si>
  <si>
    <t>ASISTENCIA SOCIAL PRIMARIA-SUMINISTRO-GAS</t>
  </si>
  <si>
    <t>23100/2210500</t>
  </si>
  <si>
    <t>ASISTENCIA SOCIAL PRIMARIA-SUMINISTROS- PRODUCTOS ALIMENTICI</t>
  </si>
  <si>
    <t>23100/2210600</t>
  </si>
  <si>
    <t>ASISTENCIA SOCIAL PRIMARIA-SUMINISTROS-PRODUCTOS FARMACÉUTIC</t>
  </si>
  <si>
    <t>23100/2211000</t>
  </si>
  <si>
    <t>ASISTENCIA SOCIAL PRIMARIA-SUMINISTROS- PRODUCTOS DE LIMPIEZ</t>
  </si>
  <si>
    <t>23100/2219900</t>
  </si>
  <si>
    <t>ASISTENCIA SOCIAL PRIMARIA-MATERIAL Y SUMINISTROS VARIOS</t>
  </si>
  <si>
    <t>23100/2230000</t>
  </si>
  <si>
    <t>ASISTENCIA SOCIAL PRIMARIA-TRANSPORTES</t>
  </si>
  <si>
    <t>23100/2240000</t>
  </si>
  <si>
    <t>ASISTENCIA SOCIAL PRIMARIA-PRIMAS DE SEGUROS</t>
  </si>
  <si>
    <t>23100/2260200</t>
  </si>
  <si>
    <t>ASISTENCIA SOCIAL Y PRIMARIA - GASTOS DIVERSOS- PUBLICIDAD Y</t>
  </si>
  <si>
    <t>23100/2279900</t>
  </si>
  <si>
    <t>ACCION SOCIAL.- OTROS TRABAJOS REALIZADOS</t>
  </si>
  <si>
    <t>23100/4610000</t>
  </si>
  <si>
    <t>ASISTENCIA SOCIAL PRIMARIA -TRANSF. CTES.-A ENTIDADES LOCALE</t>
  </si>
  <si>
    <t>23*/46*</t>
  </si>
  <si>
    <t>Total Concepto  461A DIPUTACIONES, CONSEJOS Y CABILDOS INSULARES</t>
  </si>
  <si>
    <t>23100/4800000</t>
  </si>
  <si>
    <t>ASISTENCIA SOCIAL PRIMARIA-A FAMILIAS E INSTITUCIONES SIN FI</t>
  </si>
  <si>
    <t>23*/48*</t>
  </si>
  <si>
    <t>23100/4802000</t>
  </si>
  <si>
    <t>Total Concepto  480ATENCIONES BENEFICAS Y ASISTENCIALES</t>
  </si>
  <si>
    <t>23100/4890000</t>
  </si>
  <si>
    <t>Total Concepto  489OTRAS TRANSFERENCIAS</t>
  </si>
  <si>
    <t>23100/6250000</t>
  </si>
  <si>
    <t>ACCION SOCIAL.-INVERS NUEVA ASOCIADA AL FUNC.SS.- MOBILIARIO</t>
  </si>
  <si>
    <t>23101/6250020</t>
  </si>
  <si>
    <t>ASISTENCIA SOCIAL PRIMARIA-INV. NUEVA MOB.BANCO PRESTAMO</t>
  </si>
  <si>
    <t>23101/6250020(2020)</t>
  </si>
  <si>
    <t>23100/7800000</t>
  </si>
  <si>
    <t>ASISTENCIA SOCIAL PRIMARIA-A FAMILIAS INSTITUCIONES SIN FINE</t>
  </si>
  <si>
    <t>231*/78*</t>
  </si>
  <si>
    <t>Total Concepto  780A FAMILIAS E INSTITUCIONES SIN FINES DE LUCRO</t>
  </si>
  <si>
    <t>Total Grupo de Programa  231ASISTENCIA SOCIAL PRIMARIA</t>
  </si>
  <si>
    <t>24107/1430000</t>
  </si>
  <si>
    <t>FOMENTO DEL EMPLEO.-CONV. SEPE "REGENERACIÓN ZONAS RURALES AGRÍCOLAS 2021"</t>
  </si>
  <si>
    <t>24106/1430000</t>
  </si>
  <si>
    <t>FOMENTO EMPLEO.-S.C.E.-Plan Extraordinario de Empleo 2021/2022</t>
  </si>
  <si>
    <t>24103/1430020</t>
  </si>
  <si>
    <t>Fomento Empleo.- Conv. SCE "Plan Dinamiza 2019"</t>
  </si>
  <si>
    <t>24103/1430020(2020)</t>
  </si>
  <si>
    <t>24105/1430000</t>
  </si>
  <si>
    <t>FOMENTO EMPLEO.-RETRIBUCIONES.-S.C.E.-EMPLEABILIDAD 2020</t>
  </si>
  <si>
    <t>24102/1430020</t>
  </si>
  <si>
    <t>Fomento Empleo.- Conv. SCE "EMPLEA AGRICOLA 2019/2020"</t>
  </si>
  <si>
    <t>24102/1430020(2020)</t>
  </si>
  <si>
    <t>24104/1430020</t>
  </si>
  <si>
    <t>Fomento Empleo.- Conv. SCE "regeneración Paisaje Agrario 2020""</t>
  </si>
  <si>
    <t>24104/1430020(2020)</t>
  </si>
  <si>
    <t>24103/1430000</t>
  </si>
  <si>
    <t>FOMENTO EMPLEO.-S.C.E.-PERSONAL.-SOCORRISMO 2020</t>
  </si>
  <si>
    <t>24101/1430000</t>
  </si>
  <si>
    <t>FOMENTO DEL EMPLEO.-S.C.E.-PLAN EXTRAORDINARIO EMPLEO 2020/2021</t>
  </si>
  <si>
    <t>24104/1430000</t>
  </si>
  <si>
    <t>FOMENTO EMPLEO.-S.C.E.- PROGRESA 2020</t>
  </si>
  <si>
    <t>24102/1430000</t>
  </si>
  <si>
    <t>FOMENTO EMPLEO.-S.C.E.- CONV. NOE-COVID</t>
  </si>
  <si>
    <t>24105/1430020</t>
  </si>
  <si>
    <t>Fomento Empleo.- Conv. SCE "Empleabilidad 2020""</t>
  </si>
  <si>
    <t>24105/1430020(2020)</t>
  </si>
  <si>
    <t>24104/2200020</t>
  </si>
  <si>
    <t>24104/2200020(2020)</t>
  </si>
  <si>
    <t>Total Concepto  220MATERIAL DE OFICINA</t>
  </si>
  <si>
    <t>24102/2219900</t>
  </si>
  <si>
    <t>FOMENTO EMPLEO-SUMINISTROS.-CONV NOE COVID</t>
  </si>
  <si>
    <t>24100/2219900</t>
  </si>
  <si>
    <t>FOMENTO DEL EMPLEO-MATERIAL Y SUMINISTROS VARIOS</t>
  </si>
  <si>
    <t>24*/22*</t>
  </si>
  <si>
    <t>24101/2210400</t>
  </si>
  <si>
    <t>FOMENTO EMPLEO-GTOS VESTUARIO.- PLAN EXTRAORDINARIO EMPLEO 2020/2021</t>
  </si>
  <si>
    <t>24105/2210400</t>
  </si>
  <si>
    <t>CONV. EMPLEABILIDAD-EMPLEABILIDAD 2021.-VESTUARIO</t>
  </si>
  <si>
    <t>24105/2219900</t>
  </si>
  <si>
    <t>FOMENTO EMPLEO.-SUMINISTROS.-S.C.E. EMPLEABILIDAD 2021</t>
  </si>
  <si>
    <t>24104/2210400</t>
  </si>
  <si>
    <t>CONV. EMPLEABILIDAD.-VESTUARIO.-  PROGRESA 2020</t>
  </si>
  <si>
    <t>24103/2219900</t>
  </si>
  <si>
    <t>FOMENTO EMPLEO.-S.C.E.-SUMINISTRO.-SOCORRISMO 2020</t>
  </si>
  <si>
    <t>24107/2219900</t>
  </si>
  <si>
    <t>FOMENTO EMPLEO.-SUMINISTROS.-Regeneración Zonas Rurales 2021</t>
  </si>
  <si>
    <t>24107/2210400</t>
  </si>
  <si>
    <t>FOMENTO EMPLEO.-Vestuario.-Regeneración Zonas Rurales 2021</t>
  </si>
  <si>
    <t>24106/2210400</t>
  </si>
  <si>
    <t>FOMENTO EMPLEO.-Vestuario.-Plan Extraordinario de Empleo 2021/2022</t>
  </si>
  <si>
    <t>24102/2210400</t>
  </si>
  <si>
    <t>Fomento Empleo.-Vestuario.- Conv. SCE "NOE-COVID 2020-21""</t>
  </si>
  <si>
    <t>24105/2210420</t>
  </si>
  <si>
    <t>24105/2210420(2020)</t>
  </si>
  <si>
    <t>24104/2210420</t>
  </si>
  <si>
    <t>24104/2210420(2020)</t>
  </si>
  <si>
    <t>24105/2219920</t>
  </si>
  <si>
    <t>Fomento Empleo.- Conv. SCE "Empleabilidad 2020"</t>
  </si>
  <si>
    <t>24105/2219920(2020)</t>
  </si>
  <si>
    <t>24103/2219920</t>
  </si>
  <si>
    <t>Fomento Empleo.- Conv. SCE "Dinamiza 2019"</t>
  </si>
  <si>
    <t>24103/2219920(2020)</t>
  </si>
  <si>
    <t>24102/2219920</t>
  </si>
  <si>
    <t>Fomento Empleo.- Conv.  SCE "EMPLEA AGRICOLA 2019/2020"</t>
  </si>
  <si>
    <t>24102/2219920(2020)</t>
  </si>
  <si>
    <t>24107/2260200</t>
  </si>
  <si>
    <t>FOMENTO EMPLEO.-Publicidad.-Regeneración Zonas Rurales 2021</t>
  </si>
  <si>
    <t>24100/2269900</t>
  </si>
  <si>
    <t>FOMENTO DEL EMPLEO-APORTACIÓN MUNICIPAL A CONVENIOS (SCE, CC</t>
  </si>
  <si>
    <t>24101/2260200</t>
  </si>
  <si>
    <t>Fomento Empleo.-PUBLICIDAD.-SCE "PLAN EXTRAORD EMPLEO""</t>
  </si>
  <si>
    <t>24106/2260200</t>
  </si>
  <si>
    <t>FOMENTO EMPLEO.-Publicidad.-Plan Extraordinario de Empleo 2021/2022</t>
  </si>
  <si>
    <t>24100/2279900</t>
  </si>
  <si>
    <t>FOMENTO DEL EMPLEO-APORTACIÓN MPAL A CONVENIOS.-otros trabajos</t>
  </si>
  <si>
    <t>24103/2270620</t>
  </si>
  <si>
    <t>24103/2270620(2020)</t>
  </si>
  <si>
    <t>24103/2279920</t>
  </si>
  <si>
    <t>Fomento Empleo.- Otros Trabajos.-Conv. SCE "Dinamiza 2019"</t>
  </si>
  <si>
    <t>24103/2279920(2020)</t>
  </si>
  <si>
    <t>24102/2270600</t>
  </si>
  <si>
    <t>FOMENTO EMPLEO.-S.C.E.- TRABAJOS.-NOE-COVID 2020-21</t>
  </si>
  <si>
    <t>24102/2270620</t>
  </si>
  <si>
    <t>24102/2270620(2020)</t>
  </si>
  <si>
    <t>24106/2279900</t>
  </si>
  <si>
    <t>FOMENTO EMPLEO.-Otros Trabajos.-Plan Extraordinario de Empleo 2021/2022</t>
  </si>
  <si>
    <t>24103/2270600</t>
  </si>
  <si>
    <t>FOMENTO EMPLEO.-S.C.E.- TRABAJOS.- SOCORRISMO 2020</t>
  </si>
  <si>
    <t>24104/2279900</t>
  </si>
  <si>
    <t>Fomento Empleo.-Otras Empresas.- Proyecto "Granadilla Progresa 2020"</t>
  </si>
  <si>
    <t>24104/4810000</t>
  </si>
  <si>
    <t>Fomento Empleo.-Becas.- Proyecto "Granadilla Progresa 2020"</t>
  </si>
  <si>
    <t>Total Concepto  481PREMIOS, BECAS Y PENSIONES DE ESTUDIO E INVESTIGAC</t>
  </si>
  <si>
    <t>Total Grupo de Programa  241FOMENTO DEL EMPLEO</t>
  </si>
  <si>
    <t>31100/2279900</t>
  </si>
  <si>
    <t>PROTECC. SALUBRIDAD.-OTROSTRABAJOS REALIZADOS OTRAS EMPRESAS</t>
  </si>
  <si>
    <t>31*/22*</t>
  </si>
  <si>
    <t>Total Grupo de Programa  311Protección de la salubridad pública</t>
  </si>
  <si>
    <t>32000/1300000</t>
  </si>
  <si>
    <t>ADMINISTRACIÓN GENERAL DE LA EDUCACIÓN-RETRIBUCIONES BÁSICAS</t>
  </si>
  <si>
    <t>3*/1*</t>
  </si>
  <si>
    <t>32000/1310000</t>
  </si>
  <si>
    <t>ADMINISTRACIÓN GENERAL DE LA EDUCACIÓN-RETRIBUCIONES</t>
  </si>
  <si>
    <t>32000/1430000</t>
  </si>
  <si>
    <t>32000/1600300</t>
  </si>
  <si>
    <t>ADMINISTRACIÓN GENERAL DE LA EDUCACIÓN-SEGURIDAD SOCIAL.- PE</t>
  </si>
  <si>
    <t>32000/1600500</t>
  </si>
  <si>
    <t>ADMINISTRACIÓN GENERAL DE LA EDUCACIÓN-SEGURIDAD SOCIAL.- OT</t>
  </si>
  <si>
    <t>32000/1600400</t>
  </si>
  <si>
    <t>32000/2020000</t>
  </si>
  <si>
    <t>ADM GENERAL EDUCACIÓN-ARRENDAMIENTOS- EDIFICIOS Y OTRAS</t>
  </si>
  <si>
    <t>32*/20*</t>
  </si>
  <si>
    <t>32000/4539000</t>
  </si>
  <si>
    <t>ADM GENERAL EDUCACIÓN.-CONSORCIO UNED</t>
  </si>
  <si>
    <t>32*/45*</t>
  </si>
  <si>
    <t>Total Grupo de Programa  320ADMINISTRACION GENERAL DE EDUCACION</t>
  </si>
  <si>
    <t>32300/2120020</t>
  </si>
  <si>
    <t>FUNC. C DOCENTES.-ENSEÑANZA INF Y PRIM.-EDIFICIOS</t>
  </si>
  <si>
    <t>32300/2120020(2020)</t>
  </si>
  <si>
    <t>32310/2120000</t>
  </si>
  <si>
    <t>FUNC C DOCENTES.- SANIPEQUES.-REPARACION.-EDIFICIOS</t>
  </si>
  <si>
    <t>32*/21*</t>
  </si>
  <si>
    <t>32300/2120000</t>
  </si>
  <si>
    <t>32310/2130000</t>
  </si>
  <si>
    <t>FUNC C DOCENTES.-SANIPEQUES.-REPARACION.- MAQUINARIA</t>
  </si>
  <si>
    <t>32300/2130000</t>
  </si>
  <si>
    <t>FUNCION. C DOCENTES-ENSEÑANZA INFANTIL.-REPARAC. MAQUINARIA</t>
  </si>
  <si>
    <t>32300/2210000</t>
  </si>
  <si>
    <t>FUNCIONAM C. DOCENTES INFANTIL Y PRIMARIA.-ENERGÍA ELECTRICA</t>
  </si>
  <si>
    <t>32*/22*</t>
  </si>
  <si>
    <t>32300/2219900</t>
  </si>
  <si>
    <t>FUNCIONAM C. DOCENTES INFANTIL Y PRIMARIA.-SUMINISTROS VARIOS</t>
  </si>
  <si>
    <t>32310/2219900</t>
  </si>
  <si>
    <t>FUNCIONAM C. DOCENTES.-SANIPEQUES.-SUMINISTROS VARIOS</t>
  </si>
  <si>
    <t>32310/2210000</t>
  </si>
  <si>
    <t>FUNCIONAM C. DOCENTES.-SANIPEQUES.-ENERGIA ELECTRICA</t>
  </si>
  <si>
    <t>32310/2210500</t>
  </si>
  <si>
    <t>FUNCIONAM C. DOCENTES.-SANIPEQUES.-PRODUCTOS ALIMENTICIOS</t>
  </si>
  <si>
    <t>32310/2210600</t>
  </si>
  <si>
    <t>FUNCIONAM C. DOCENTES.-SANIPEQUES.-PRODUCTOS FARMACEUTICOS</t>
  </si>
  <si>
    <t>32300/2240000</t>
  </si>
  <si>
    <t>FUNCIONAM C. DOCENTES-INFANTIL Y PRIMARIA.-SEGUROS</t>
  </si>
  <si>
    <t>32300/2270000</t>
  </si>
  <si>
    <t>FUNCIONAM C. DOCENTES-ENSEÑANZA INFANTIL Y PRIMARIA.-SERV.LIMPIEZA</t>
  </si>
  <si>
    <t>32300/2279900</t>
  </si>
  <si>
    <t>FUNCIONAM C. DOCENTES-ENSEÑANZA INF Y PRIMARIA.-OTROS TRABAJOS</t>
  </si>
  <si>
    <t>32310/2270020</t>
  </si>
  <si>
    <t>FUNCIONAM C. DOCENTES-SANIPEQUES.-OTROS TRABAJOS LIMPIEZA</t>
  </si>
  <si>
    <t>32310/2270020(2020)</t>
  </si>
  <si>
    <t>32300/2279920</t>
  </si>
  <si>
    <t>32300/2279920(2020)</t>
  </si>
  <si>
    <t>32310/2279900</t>
  </si>
  <si>
    <t>FUNCIONAM C. DOCENTES-SANIPEQUES.-OTROS TRABAJOS REALIZADOS</t>
  </si>
  <si>
    <t>32300/6190020</t>
  </si>
  <si>
    <t>FUNC C. DOCENTES-ENSEÑANZA INF Y PRIMARIA.-ZONA ANEXA CP BLANQUITOS</t>
  </si>
  <si>
    <t>32300/6190020(2020)</t>
  </si>
  <si>
    <t>32300/6250000</t>
  </si>
  <si>
    <t>FUNC C. DOCENTES-ENSEÑANZA INF Y PRIMARIA.-AIRE ACONDICIONADO CEIP MÑA PELADA</t>
  </si>
  <si>
    <t>32*/62*</t>
  </si>
  <si>
    <t>Total Grupo de Programa  323FUNCIONAMIENTO CENTROS DOCENTES INFANTIL Y PRIMARI</t>
  </si>
  <si>
    <t>32600/2230000</t>
  </si>
  <si>
    <t>SERVICIOS COMPLEMENTARIOS DE EDUCACIÓN-TRANSPORTES</t>
  </si>
  <si>
    <t>32600/4810000</t>
  </si>
  <si>
    <t>SERVICIOS COMPLEMENTARIOS DE EDUCACIÓN-A FAM. E INST. SIN FI</t>
  </si>
  <si>
    <t>32*/48*</t>
  </si>
  <si>
    <t>32600/4890000</t>
  </si>
  <si>
    <t>SERVICIOS COMPLEMENTARIOS EDUCACIÓN-A FAMILIAS E INST.S/F LU</t>
  </si>
  <si>
    <t>32600/4890020</t>
  </si>
  <si>
    <t>32600/4890020(2020)</t>
  </si>
  <si>
    <t>Total Grupo de Programa  326Servicios complementarios de educación</t>
  </si>
  <si>
    <t>32700/1310000</t>
  </si>
  <si>
    <t>FOMENTO DE LA CONVIVENCIA CIUDADANA-RETRIBUCIONES.</t>
  </si>
  <si>
    <t>32700/1600300</t>
  </si>
  <si>
    <t>FOMENTO DE LA CONVIVENCIA CIUDADANA-SEGURIDAD SOCIAL.- PERSO</t>
  </si>
  <si>
    <t>32710/2020000</t>
  </si>
  <si>
    <t>FOMENTO CONV. CIUDADANA-- ARRENDAMIENTOS.-EDIFICIOS</t>
  </si>
  <si>
    <t>32720/2120000</t>
  </si>
  <si>
    <t>FOMENTO CONV CIUDADANA- MAYORES-REPARACION.-EDIFICIOS</t>
  </si>
  <si>
    <t>32710/2120000</t>
  </si>
  <si>
    <t>FOMENTO CONV CIUDADANA- JUVENTUD-REPARACIÓN.-EDIFICIOS</t>
  </si>
  <si>
    <t>32710/2130000</t>
  </si>
  <si>
    <t>FOM.CONVIVENCIA CIUDADANA- JUVENTUD-REPARACIÓN.-MAQUINARIA</t>
  </si>
  <si>
    <t>32710/2219900</t>
  </si>
  <si>
    <t>FOMENTO CONVIV CIUDADANA.-JUVENTUD.-OTROS SUMINISTROS</t>
  </si>
  <si>
    <t>32720/2219900</t>
  </si>
  <si>
    <t>FOMENTO CONVIV CIUDADANA.-MAYORES -OTROS SUMINISTROS</t>
  </si>
  <si>
    <t>32720/2230000</t>
  </si>
  <si>
    <t>FOMENTO DE LA CONVIVENCIA CIUDADANA -MAYORES-TRANSPORTES</t>
  </si>
  <si>
    <t>32710/2230000</t>
  </si>
  <si>
    <t>FOMENTO DE LA CONVIVENCIA CIUDADANA -JUVENTUD-TRANSPORTES</t>
  </si>
  <si>
    <t>32710/2240000</t>
  </si>
  <si>
    <t>FOMENTO CONVIV CIUDADANA-JUVENTUD.-PRIMAS SEGUROS</t>
  </si>
  <si>
    <t>32710/2260200</t>
  </si>
  <si>
    <t>FOMENTO CONVIV CIUDADANA-JUVENTUD-GTOS DIVERSOS.-PUBLICIDAD</t>
  </si>
  <si>
    <t>32720/2260200</t>
  </si>
  <si>
    <t>FOMENTO CONVIVENCIA CIUDADANA -MAYORES-PUBLICIDAD</t>
  </si>
  <si>
    <t>32710/2279900</t>
  </si>
  <si>
    <t>FOMENTO CC JUVENTUD.- OTROS TRABAJOS</t>
  </si>
  <si>
    <t>32720/2279900</t>
  </si>
  <si>
    <t>FOMENTO CC MAYORES.- OTROS TRABAJOS REALIZADOS</t>
  </si>
  <si>
    <t>32710/4810000</t>
  </si>
  <si>
    <t>JUVENTUD.-A FAM. E INST. S/F LUCRO.- PREMIOS</t>
  </si>
  <si>
    <t>32720/4890000</t>
  </si>
  <si>
    <t>FOMENTO DE LA CONVIVENCIA CIUDADANA- MAYORES-A FAMILIAS E IN</t>
  </si>
  <si>
    <t>32710/6250000</t>
  </si>
  <si>
    <t>JUVENTUD -INVERS. NUEVA ASOC AL FUNC.SERV.-MOBILIARIO</t>
  </si>
  <si>
    <t>32710/6260000</t>
  </si>
  <si>
    <t>FOMENTO CONVIVENCIA.-JUVENTUD-INVERS. NUEVA.-EQUIPOS INFORMATICOS TAGORORES</t>
  </si>
  <si>
    <t>Total Concepto  626EQUIPOS PARA PROCESO DE INFORMACION</t>
  </si>
  <si>
    <t>32710/6320000</t>
  </si>
  <si>
    <t>FOMENTO CONV.- JUVENTUD-INV. REP.-CASA LA JUVENTUD</t>
  </si>
  <si>
    <t>32*/63*</t>
  </si>
  <si>
    <t>32700/6320000</t>
  </si>
  <si>
    <t>FOMENTO CONVIVENCIA CIUDADANA-SALA VELATORIO DE GRANADILLA</t>
  </si>
  <si>
    <t>32720/6320120</t>
  </si>
  <si>
    <t>FOMENTO CONV.- MAYORES-INV. REP.-ADAPTACION BAÑOS DISCAPACITADOS</t>
  </si>
  <si>
    <t>32720/6320120(2020)</t>
  </si>
  <si>
    <t>32710/6330000</t>
  </si>
  <si>
    <t>JUVENTUD.-INVERS REPOSICION.- AIRE ACONDIC. TAGORORES</t>
  </si>
  <si>
    <t>32710/6330020</t>
  </si>
  <si>
    <t>JUVENTUD.-INVERSIÓN REPOSICION.- RADIO MPAL</t>
  </si>
  <si>
    <t>32710/6330020(2020)</t>
  </si>
  <si>
    <t>Total Concepto  633MAQUINARIA INSTALACIONES Y UTILLAJE</t>
  </si>
  <si>
    <t>Total Grupo de Programa  327Fomento de la convivencia ciudadana</t>
  </si>
  <si>
    <t>33000/1300000</t>
  </si>
  <si>
    <t>ADMINISTRACIÓN GENERAL DE LA CULTURA-RETRIBUCIONES BÁSICAS</t>
  </si>
  <si>
    <t>33000/1310000</t>
  </si>
  <si>
    <t>ADMINISTRACIÓN GENERAL DE LA CULTURA-RETRIBUCIONES</t>
  </si>
  <si>
    <t>33000/1600400</t>
  </si>
  <si>
    <t>ADMINISTRACIÓN GENERAL DE LA CULTURA-SEGURIDAD SOCIAL.- PERS</t>
  </si>
  <si>
    <t>33000/1600300</t>
  </si>
  <si>
    <t>33000/6290000</t>
  </si>
  <si>
    <t>ADM GRAL -OTRAS INVERS. NUEVAS ASOCIADAS AL FUNC. DE</t>
  </si>
  <si>
    <t>33*/62*</t>
  </si>
  <si>
    <t>Total Concepto  629OTRAS INVERSIONES NUEVAS A. FUNC. OP. SERV.</t>
  </si>
  <si>
    <t>Total Grupo de Programa  330ADMINISTRACION GENERAL DE CULTURA</t>
  </si>
  <si>
    <t>33220/2120000</t>
  </si>
  <si>
    <t>ARCHIVOS -REPARACIÓN, MANT Y CONSERV.-EDIFICIOS</t>
  </si>
  <si>
    <t>33*/21*</t>
  </si>
  <si>
    <t>33220/2200000</t>
  </si>
  <si>
    <t>ARCHIVOS- MATERIAL DE OFICINA NO INVENTARIABLE</t>
  </si>
  <si>
    <t>33*/22*</t>
  </si>
  <si>
    <t>33220/2210400</t>
  </si>
  <si>
    <t>ARCHIVOS-SUMINISTRO VESTUARIO</t>
  </si>
  <si>
    <t>33220/2279900</t>
  </si>
  <si>
    <t>ARCHIVOS-TRABAJOS REALIZADOS OTRAS EMPRESAS-ESTUDIOS Y TRABA</t>
  </si>
  <si>
    <t>Total Grupo de Programa  332BIBLIOTECAS Y ARCHIVOS</t>
  </si>
  <si>
    <t>33400/2020000</t>
  </si>
  <si>
    <t>PROMOCIÓN CULTURAL-ARRENDAMIENTOS- EDIFICIOS Y OTRAS CONSTR</t>
  </si>
  <si>
    <t>33*/20*</t>
  </si>
  <si>
    <t>33400/2030000</t>
  </si>
  <si>
    <t>PROMOCIÓN CULTURAL.  ARRENDAMIENTOS - MAQUINARIA, INSTALACIO</t>
  </si>
  <si>
    <t>33400/2050000</t>
  </si>
  <si>
    <t>PROMOCIÓN CULTURAL-ARRENDAMIENTOS DE MOBILIARIO Y ENSERES</t>
  </si>
  <si>
    <t>Total Concepto  205MOBILIARIO Y ENSERES</t>
  </si>
  <si>
    <t>33400/2090000</t>
  </si>
  <si>
    <t>PROMOCIÓN CULTURAL-OTROS ARRENDAMIENTOS Y  CANONES</t>
  </si>
  <si>
    <t>33400/2120000</t>
  </si>
  <si>
    <t>PROMOCIÓN CULTURAL-REPARACIÓN, MANT.-EDIFICIOS</t>
  </si>
  <si>
    <t>33400/2130000</t>
  </si>
  <si>
    <t>PROMOCIÓN CULTURAL- REPARACIÓN, MANTEN.-MAQUINARIA</t>
  </si>
  <si>
    <t>33400/2140000</t>
  </si>
  <si>
    <t>PROMOCION CULTURAL.- MANTENIMIENTO DE VEHICULOS</t>
  </si>
  <si>
    <t>33400/2200100</t>
  </si>
  <si>
    <t>PROMOCIÓN CULTURAL-MATERIAL DE OFICINA-PRENSA, REVISTA Y  PU</t>
  </si>
  <si>
    <t>33400/2210000</t>
  </si>
  <si>
    <t>PROMOCIÓN CULTURAL-SUMINISTRO-ENERGÍA ELÉCTRICA</t>
  </si>
  <si>
    <t>33400/2219900</t>
  </si>
  <si>
    <t>PROMOCIÓN CULTURAL-MATERIAL Y SUMINISTROS VARIOS</t>
  </si>
  <si>
    <t>33400/2230000</t>
  </si>
  <si>
    <t>PROMOCIÓN CULTURAL-TRANSPORTES</t>
  </si>
  <si>
    <t>33400/2260200</t>
  </si>
  <si>
    <t>PROMOC. CULTURA-COMUNICACIONES-GASTOS DIVERSOS-PU</t>
  </si>
  <si>
    <t>33400/2269900</t>
  </si>
  <si>
    <t>PROMOCIÓN CULTURAL-GASTOS DIVERSOS FUNCIONAMIENTO</t>
  </si>
  <si>
    <t>33400/2279900</t>
  </si>
  <si>
    <t>PROMOC.Y DIF.CULTURA.- OTROS TRABAJOS REALIZADOS</t>
  </si>
  <si>
    <t>33411/2279920</t>
  </si>
  <si>
    <t>PROMOC.Y DIF.CULTURA.- ENCOMIENDA LIMPIEZA EXTRAORDINARIA</t>
  </si>
  <si>
    <t>33411/2279920(2020)</t>
  </si>
  <si>
    <t>33400/4890000</t>
  </si>
  <si>
    <t>PROMOCIÓN CULTURAL-A FAMILIAS E INSTITUCIONES SIN FINES DE</t>
  </si>
  <si>
    <t>33*/48*</t>
  </si>
  <si>
    <t>Total Grupo de Programa  334PROMOCION CULTURAL</t>
  </si>
  <si>
    <t>34000/1310000</t>
  </si>
  <si>
    <t>ADMINISTRACIÓN GENERAL DEL DEPORTE-RETRIBUCIONES</t>
  </si>
  <si>
    <t>34000/1430000</t>
  </si>
  <si>
    <t>ADMINISTRACIÓN GENERAL DEL DEPORTE-RETRIBUCIONES OTRO PERSONAL</t>
  </si>
  <si>
    <t>34000/1600500</t>
  </si>
  <si>
    <t>ADMINISTRACIÓN GENERAL DEL DEPORTE-SEGURIDAD SOCIAL.- PERSON</t>
  </si>
  <si>
    <t>34000/1600300</t>
  </si>
  <si>
    <t>Total Grupo de Programa  340ADMINISTRACION GENERAL DE DEPORTES</t>
  </si>
  <si>
    <t>34100/2030000</t>
  </si>
  <si>
    <t>PROMOCIÓN DEL DEPORTE.  ARRENDAMIENTOS - MAQUINARIA, INSTALA</t>
  </si>
  <si>
    <t>34*/20*</t>
  </si>
  <si>
    <t>34100/2050020</t>
  </si>
  <si>
    <t>PROMOCIÓN Y FOMENTO DEL DEPORTE-ARRENDAMIENTO DE MOBILIARIO</t>
  </si>
  <si>
    <t>34100/2050020(2020)</t>
  </si>
  <si>
    <t>34100/2050000</t>
  </si>
  <si>
    <t>34100/2219900</t>
  </si>
  <si>
    <t>PROMOCIÓN Y FOMENTO DEL DEPORTE-MATERIAL Y SUMINISTROS VARIO</t>
  </si>
  <si>
    <t>34*/22*</t>
  </si>
  <si>
    <t>34100/2230000</t>
  </si>
  <si>
    <t>PROMOCIÓN Y FOMENTO DEL DEPORTE-TRANSPORTES</t>
  </si>
  <si>
    <t>34100/2240000</t>
  </si>
  <si>
    <t>PROMOCIÓN Y FOMENTO DEL DEPORTE-PRIMAS DE SEGUROS</t>
  </si>
  <si>
    <t>34100/2260200</t>
  </si>
  <si>
    <t>PROMOCIÓN Y FOMENTO DEL DEPORTE-GASTOS DIVERSOS-PUBLICIDAD Y</t>
  </si>
  <si>
    <t>34100/2279900</t>
  </si>
  <si>
    <t>PROMOC Y FOMENTO DEPORTE.- OTROS TRABAJOS REALIZADOS</t>
  </si>
  <si>
    <t>34100/4892800</t>
  </si>
  <si>
    <t>PROMOCIÓN Y FOMENTO DEPORTE-A FAM E INST.-CD CHARCO PINO</t>
  </si>
  <si>
    <t>34*/48*</t>
  </si>
  <si>
    <t>34100/4893200</t>
  </si>
  <si>
    <t>PROMOCIÓN Y FOMENTO DEPORTE-A FAM E INST.-CB GRANADA</t>
  </si>
  <si>
    <t>34100/4893500</t>
  </si>
  <si>
    <t>PROMOCIÓN Y FOMENTO DEPORTE-A FAM E INST.-CF SALA CHIMICHE</t>
  </si>
  <si>
    <t>34100/4893600</t>
  </si>
  <si>
    <t>PROMOCIÓN Y FOMENTO DEPORTE-A FAM E INST.- CD CHARCAY</t>
  </si>
  <si>
    <t>34100/4893900</t>
  </si>
  <si>
    <t>PROMOCIÓN Y FOMENTO DEPORTE-A FAM E INST.-CD GRANASUR ACOJEJA</t>
  </si>
  <si>
    <t>34100/4894000</t>
  </si>
  <si>
    <t>PROMOCIÓN Y FOMENTO DEPORTE-A FAM E INST.-MENCEY ATXOÑA</t>
  </si>
  <si>
    <t>34100/4894200</t>
  </si>
  <si>
    <t>PROMOCIÓN Y FOMENTO DEPORTE-A FAM E INST.-TAEBEK TAEKWONDO</t>
  </si>
  <si>
    <t>34100/4894300</t>
  </si>
  <si>
    <t>PROMOCIÓN Y FOMENTO DEPORTE-A FAM E INST.-ESCUDERIA ATOGO</t>
  </si>
  <si>
    <t>34100/4894500</t>
  </si>
  <si>
    <t>PROMOCIÓN Y FOMENTO DEPORTE-A FAM E INST.-TRIMEDA</t>
  </si>
  <si>
    <t>34100/4894600</t>
  </si>
  <si>
    <t>PROMOCIÓN Y FOMENTO DEPORTE-A FAM E INST.-CD TRIABONA</t>
  </si>
  <si>
    <t>34100/4892700</t>
  </si>
  <si>
    <t>PROMOCIÓN Y FOMENTO DEPORTE-A FAM E INST.-CD AGUABUEY</t>
  </si>
  <si>
    <t>34100/4891800</t>
  </si>
  <si>
    <t>PROMOCIÓN Y FOMENTO DEPORTE-A FAM E INST.-MEDANO</t>
  </si>
  <si>
    <t>34100/4891500</t>
  </si>
  <si>
    <t>PROMOCIÓN Y FOMENTO DEPORTE-A FAM E INST.-CARDONES</t>
  </si>
  <si>
    <t>34100/4890100</t>
  </si>
  <si>
    <t>PROMOCIÓN Y FOMENTO DEPORTE-A FAM E INST.-C COMPETITIVA</t>
  </si>
  <si>
    <t>34100/4890000</t>
  </si>
  <si>
    <t>PROMOCIÓN Y FOMENTO DEPORTE-A FAM E INST.- AD ESMUGRAN</t>
  </si>
  <si>
    <t>34100/4894400</t>
  </si>
  <si>
    <t>PROMOCIÓN Y FOMENTO DEPORTE-A FAM E INST.-ARGONAUTAS</t>
  </si>
  <si>
    <t>34100/4894800</t>
  </si>
  <si>
    <t>PROMOCIÓN Y FOMENTO DEPORTE-A FAM E INST.-FUND.PEDRO RGUEZ LEDESMA</t>
  </si>
  <si>
    <t>34100/4890300</t>
  </si>
  <si>
    <t>PROMOCIÓN Y FOMENTO DEPORTE-A FAM E INST.-C.D. TRITEIDE</t>
  </si>
  <si>
    <t>34100/4890200</t>
  </si>
  <si>
    <t>PROMOCIÓN Y FOMENTO DEPORTE-A FAM E INST.-C.D. AREA SUR</t>
  </si>
  <si>
    <t>34100/4890020</t>
  </si>
  <si>
    <t>PROMOCIÓN Y FOMENTO DEPORTE-A FAM E INST</t>
  </si>
  <si>
    <t>34100/4890020(2020)</t>
  </si>
  <si>
    <t>34100/4894900</t>
  </si>
  <si>
    <t>PROMOCIÓN Y FOMENTO DEPORTE-A FAM E INST.-C.D. MANCES 78</t>
  </si>
  <si>
    <t>34100/4892600</t>
  </si>
  <si>
    <t>PROMOCIÓN Y FOMENTO DEPORTE-A FAM E INST.-ANADONA EL MEDANO</t>
  </si>
  <si>
    <t>34100/6322000</t>
  </si>
  <si>
    <t>PROMOC DEPORTIVA -CUBIERTA ZONA DE PRENSA Y PALCO C.FUTBOL</t>
  </si>
  <si>
    <t>Total Grupo de Programa  341PROMOCION Y FOMENTO DEL DEPORTE</t>
  </si>
  <si>
    <t>34200/2120000</t>
  </si>
  <si>
    <t>INSTALACIONES DEPORTIVAS-REPARACIÓN, MANT.-EDIFICIOS</t>
  </si>
  <si>
    <t>34*/21*</t>
  </si>
  <si>
    <t>34200/2130000</t>
  </si>
  <si>
    <t>INSTALACIONES DEPORTIVAS-REPARACIÓN,  MANT.-MAQUINARIA</t>
  </si>
  <si>
    <t>34200/2150000</t>
  </si>
  <si>
    <t>INSTALACIONES DEPORTIVAS-REPARACIÓN,  MANT.-MOBILIARIO</t>
  </si>
  <si>
    <t>Total Concepto  215MOBILIARIO Y ENSERES</t>
  </si>
  <si>
    <t>34200/2210000</t>
  </si>
  <si>
    <t>INSTALACIONES DEPORTIVAS-SUMINISTRO-ENERGÍA ELÉCTRICA</t>
  </si>
  <si>
    <t>34200/2219900</t>
  </si>
  <si>
    <t>INSTALACIONES DEPORTIVAS-MATERIAL Y SUMINISTROS VARIOS</t>
  </si>
  <si>
    <t>34200/6320000</t>
  </si>
  <si>
    <t>INSTALACIONES DEPORTIVAS.-CAMPO FUTBOL DEL MEDANO</t>
  </si>
  <si>
    <t>34*/63*</t>
  </si>
  <si>
    <t>2018</t>
  </si>
  <si>
    <t>34200/6320018</t>
  </si>
  <si>
    <t>PROM DEPORTIVA-SUBV. REPARACION.- VESTUARIOS-GRADAS MEDANO</t>
  </si>
  <si>
    <t>34200/6320018(2018)</t>
  </si>
  <si>
    <t>INSTALACIONES DEPORTIVAS - VESTUARIO Y GRADAS CF MEDANO</t>
  </si>
  <si>
    <t>34200/6320018(2020)</t>
  </si>
  <si>
    <t>Total Grupo de Programa  342INSTALACIONES DEPORTIVAS</t>
  </si>
  <si>
    <t>41000/1310000</t>
  </si>
  <si>
    <t>ADM. GENERAL AGRICULTURA, GANADERÍA Y PESCA-MEJORAS ESTRUCTU</t>
  </si>
  <si>
    <t>4*/1*</t>
  </si>
  <si>
    <t>41000/1600300</t>
  </si>
  <si>
    <t>ADM. GENERAL AGRICULTURA, GANADERÍA Y PESCA-MEJ ESTRUCTURALE</t>
  </si>
  <si>
    <t>41000/2260200</t>
  </si>
  <si>
    <t>ADM GENERAL AGRICULTURA, GANADERÍA Y PESCA- PUBLICIDAD Y PROPAGANDA</t>
  </si>
  <si>
    <t>41*/22*</t>
  </si>
  <si>
    <t>41000/2279900</t>
  </si>
  <si>
    <t>ADM GENERAL AGRICULT, GAN Y PESCA-TRABAJOS REALIZAD</t>
  </si>
  <si>
    <t>41000/4890000</t>
  </si>
  <si>
    <t>ADM GENERAL AGRICULTURA, GANADERÍA Y PESCA-A FAMILIAS E INST</t>
  </si>
  <si>
    <t>41*/48*</t>
  </si>
  <si>
    <t>41000/6230000</t>
  </si>
  <si>
    <t>ADM GRAL AGRICULTURA.-INVERS NUEVA.- MAQUINARIA</t>
  </si>
  <si>
    <t>41*/62*</t>
  </si>
  <si>
    <t>Total Grupo de Programa  410ADM. GRAL. DE AGRICULTURA, GANADERIA Y PESCA</t>
  </si>
  <si>
    <t>41900/2120000</t>
  </si>
  <si>
    <t>ACT AGRICULTURA-GANADERÍA Y PESCA.-REPARACIÓN.-EDIFICIOS</t>
  </si>
  <si>
    <t>41*/21*</t>
  </si>
  <si>
    <t>41900/2120020</t>
  </si>
  <si>
    <t>41900/2120020(2020)</t>
  </si>
  <si>
    <t>41900/2130000</t>
  </si>
  <si>
    <t>ACTU AGRÍCULTURA GANA Y PESCA-REPARACIÓN,  MANT.-MAQUINARIA</t>
  </si>
  <si>
    <t>41900/2219900</t>
  </si>
  <si>
    <t>OT ACTUACIONES AGRICULT GANADERÍA Y PESCA-SUMINISTROS</t>
  </si>
  <si>
    <t>41910/2279900</t>
  </si>
  <si>
    <t>MERCAMARKT.- OTROS TRABAJOS REALIZADOS</t>
  </si>
  <si>
    <t>41900/2279900</t>
  </si>
  <si>
    <t>OT ACTUACIO AGRICULT,GANAD Y PESCA-OT TRABAJOS</t>
  </si>
  <si>
    <t>41901/6230020</t>
  </si>
  <si>
    <t>ACT AGRICULTURA-GANADERÍA Y PESCA.-MAQUINARIA LONJA</t>
  </si>
  <si>
    <t>41901/6230020(2020)</t>
  </si>
  <si>
    <t>41901/6250020</t>
  </si>
  <si>
    <t>ACT AGRICULTURA-GANADERÍA Y PESCA.-MOBILIARIO LONJA</t>
  </si>
  <si>
    <t>41901/6250020(2020)</t>
  </si>
  <si>
    <t>41901/6320020</t>
  </si>
  <si>
    <t>ACT AGRICULTURA-GANADERÍA Y PESCA.-ACONDICIONAMIENTO LONJA</t>
  </si>
  <si>
    <t>41901/6320020(2020)</t>
  </si>
  <si>
    <t>Total Grupo de Programa  419OTRAS ACTUACIONES AGRICULTURA, GANADERIA Y PESCA</t>
  </si>
  <si>
    <t>42500/2250000</t>
  </si>
  <si>
    <t>ENERGÍA- TRIBUTOS FOTOVOLTAICAS</t>
  </si>
  <si>
    <t>42*/22*</t>
  </si>
  <si>
    <t>42500/2279900</t>
  </si>
  <si>
    <t>ENERGÍA-OTROS TRABAJOS REALIZADOS OTRAS EMPRESAS</t>
  </si>
  <si>
    <t>Total Grupo de Programa  425ENERGIA</t>
  </si>
  <si>
    <t>43000/1310000</t>
  </si>
  <si>
    <t>ADMINISTRACIÓN GENERAL DE COMERCIO, TURISMO Y PEQUEÑAS Y MED</t>
  </si>
  <si>
    <t>43000/1600300</t>
  </si>
  <si>
    <t>ADM GENERAL DE COMERCIO, TURISMO Y PEQUEÑAS Y MEDIANAS EMPRE</t>
  </si>
  <si>
    <t>Total Grupo de Programa  430ADM. GRAL. COMERCIO, TURISMO Y PEQ-MEDIANAS EMPRES</t>
  </si>
  <si>
    <t>43100/2269900</t>
  </si>
  <si>
    <t>COMERCIO-GASTOS DIVERSOS DE FUNCIONAMIENTO</t>
  </si>
  <si>
    <t>43*/22*</t>
  </si>
  <si>
    <t>43100/2279900</t>
  </si>
  <si>
    <t>COMERCIO.- TRABAJOS REAL. OT EMP.- OTROS TRABAJOS</t>
  </si>
  <si>
    <t>Total Grupo de Programa  431COMERCIO</t>
  </si>
  <si>
    <t>43200/2210400</t>
  </si>
  <si>
    <t>INFORMACIÓN Y PROMOCIÓN TURÍSTICA-SUMINISTRO DE VESTUARIOS</t>
  </si>
  <si>
    <t>43200/2260200</t>
  </si>
  <si>
    <t>INFORMACIÓN Y PROMOCIÓN TURÍSTICA-PUBLICIDAD Y PROPAGANDA</t>
  </si>
  <si>
    <t>43210/2279900</t>
  </si>
  <si>
    <t>WELCOME2.-OTROS TRABAJOS REALIZADOS OTRAS</t>
  </si>
  <si>
    <t>43200/2279900</t>
  </si>
  <si>
    <t>INFORMAC Y PROMOCIÓN TURÍSTICA-OTROS TRABAJOS REALIZADOS OTRAS</t>
  </si>
  <si>
    <t>43200/4610000</t>
  </si>
  <si>
    <t>INFORMACIÓN Y PROMOCIÓN TURÍSTICA -TRANSF. CTES.-A ENTIDADES</t>
  </si>
  <si>
    <t>43*/46*</t>
  </si>
  <si>
    <t>43200/4890000</t>
  </si>
  <si>
    <t>INFORMACIÓN Y PROMOCIÓN TURÍSTICA- A FAMILIAS E INSTITUCIONE</t>
  </si>
  <si>
    <t>43*/48*</t>
  </si>
  <si>
    <t>Total Grupo de Programa  432INFORMACION Y PROMOCION TURISTICA</t>
  </si>
  <si>
    <t>43300/2279900</t>
  </si>
  <si>
    <t>DESARROLLO EMPRESARIAL-OTROSTRABAJOS REALIZADOS OT EMPRESAS</t>
  </si>
  <si>
    <t>43300/4790000</t>
  </si>
  <si>
    <t>DESARROLLO EMPRESARIAL-A EMPRESAS I+D Y ASOCIACIONES EMPRESA</t>
  </si>
  <si>
    <t>43*/47*</t>
  </si>
  <si>
    <t>Total Concepto  479A EMPRESAS PRIVADAS</t>
  </si>
  <si>
    <t>Total Grupo de Programa  433DESARROLLO EMPRESARIAL</t>
  </si>
  <si>
    <t>43900/1310000</t>
  </si>
  <si>
    <t>OTRAS ACTUACIONES SECTORIALES-AGENCIA DE EMPLEO Y DESARROLLO</t>
  </si>
  <si>
    <t>43900/1600300</t>
  </si>
  <si>
    <t>OTRAS ACTUACIONES SECTORIALES-SEGURIDAD SOCIAL.- PERSONAL LA</t>
  </si>
  <si>
    <t>43900/2030000</t>
  </si>
  <si>
    <t>OTRAS ACTUACIONES SECTORIALES-AEDL.-ARRENDAM MAQUINARIA</t>
  </si>
  <si>
    <t>43*/20*</t>
  </si>
  <si>
    <t>43900/2050000</t>
  </si>
  <si>
    <t>OTRAS ACTUACIONES SECTORIALES - ARRENDAMIENTO DE MOBILIARIO</t>
  </si>
  <si>
    <t>43900/2219900</t>
  </si>
  <si>
    <t>OTRAS ACTUACIONES SECTORIALES-AEDL.-SUMINISTROS VARIOS</t>
  </si>
  <si>
    <t>43900/2260200</t>
  </si>
  <si>
    <t>43900/2269900</t>
  </si>
  <si>
    <t>OTRAS ACTUACIONES SECTORIALES-AEDL.-PROYECTO MERCAMARKT-WELCOME2</t>
  </si>
  <si>
    <t>43900/2279900</t>
  </si>
  <si>
    <t>OTRAS ACTUACIONES SECTORIALES. OTROS TRABAJOS REALIZADOS</t>
  </si>
  <si>
    <t>43900/6260000</t>
  </si>
  <si>
    <t>OTRAS ACTUACIONES SECTORIALES.-EQUIPOS INFORMATICOS</t>
  </si>
  <si>
    <t>43*/62*</t>
  </si>
  <si>
    <t>Total Grupo de Programa  439OTRAS ACTUACIONES SECTORIALES</t>
  </si>
  <si>
    <t>44000/2279900</t>
  </si>
  <si>
    <t>ADM GRAL TRANSPORTE.- OTROS TRABAJOS REALIZADOS</t>
  </si>
  <si>
    <t>44*/22*</t>
  </si>
  <si>
    <t>Total Grupo de Programa  440ADM. GRAL. DEL TRANSPORTE</t>
  </si>
  <si>
    <t>45300/2100000</t>
  </si>
  <si>
    <t>CARRETERAS-REPARACIÓN,  MANTENIMIENTO Y CONSERVACIÓN-INFRAES</t>
  </si>
  <si>
    <t>45*/21*</t>
  </si>
  <si>
    <t>45300/2219900</t>
  </si>
  <si>
    <t>CARRETERAS-MATERIAL Y SUMINISTROS VARIOS</t>
  </si>
  <si>
    <t>45*/22*</t>
  </si>
  <si>
    <t>45300/6190420</t>
  </si>
  <si>
    <t>CARRETERAS- INVERSION.-REPAVIMENTACION C/CUEVA LA MORA</t>
  </si>
  <si>
    <t>45300/6190420(2020)</t>
  </si>
  <si>
    <t>45300/6190200</t>
  </si>
  <si>
    <t>CARRETERAS- INVERSION.-Repavimentación Lomo Grande</t>
  </si>
  <si>
    <t>45*/61*</t>
  </si>
  <si>
    <t>45300/6190100</t>
  </si>
  <si>
    <t>CARRETERAS- INVERSION.-Accesibilida C/El Horno</t>
  </si>
  <si>
    <t>45300/6191720</t>
  </si>
  <si>
    <t>CARRETERAS- INVERSION.-PAVIMENTACION CNO CANALES ALTAS</t>
  </si>
  <si>
    <t>45300/6191720(2020)</t>
  </si>
  <si>
    <t>45300/6190300</t>
  </si>
  <si>
    <t>CARRETERAS- INVERSION.-Repavimentación Angel Arocha</t>
  </si>
  <si>
    <t>45300/6190020</t>
  </si>
  <si>
    <t>CARRETERAS- INVERSION.-REHABILITACION FIRMES VIAS SUR SAN ISIDRO</t>
  </si>
  <si>
    <t>45300/6190020(2020)</t>
  </si>
  <si>
    <t>45300/6190120</t>
  </si>
  <si>
    <t>CARRETERAS- INVERSION.-REHABILITACION FIRME C/ROSARIO LA MAESTRA</t>
  </si>
  <si>
    <t>45300/6190120(2020)</t>
  </si>
  <si>
    <t>45300/6190220</t>
  </si>
  <si>
    <t>CARRETERAS- INVERSION.-REHABILITACION FIRME VIAS NORTE SAN ISIDRO</t>
  </si>
  <si>
    <t>45300/6190220(2020)</t>
  </si>
  <si>
    <t>45300/6190320</t>
  </si>
  <si>
    <t>CARRETERAS- INVERSION.-REPAVIMENTACION ACCESO OCUPACIONAL</t>
  </si>
  <si>
    <t>45300/6190320(2020)</t>
  </si>
  <si>
    <t>45300/6190520</t>
  </si>
  <si>
    <t>CARRETERAS- INVERSION.-PAVIMENTACION C/EL MOLINO</t>
  </si>
  <si>
    <t>45300/6190520(2020)</t>
  </si>
  <si>
    <t>45300/6190620</t>
  </si>
  <si>
    <t>CARRETERAS- INVERSION.-PAVIMENTACION CNO CANDELARIA</t>
  </si>
  <si>
    <t>45300/6190620(2020)</t>
  </si>
  <si>
    <t>45300/6191120</t>
  </si>
  <si>
    <t>CARRETERAS- INVERSION.-PAVIMENTACION C/S JUAN BAUTISTA</t>
  </si>
  <si>
    <t>45300/6191120(2020)</t>
  </si>
  <si>
    <t>45300/6191220</t>
  </si>
  <si>
    <t>CARRETERAS- INVERSION.-PAVIMENTACION C/EL BOTE</t>
  </si>
  <si>
    <t>45300/6191220(2020)</t>
  </si>
  <si>
    <t>45300/6191420</t>
  </si>
  <si>
    <t>CARRETERAS- INVERSION.-PAVIMENTACION C/LOS AMAROS</t>
  </si>
  <si>
    <t>45300/6191420(2020)</t>
  </si>
  <si>
    <t>45300/6191520</t>
  </si>
  <si>
    <t>CARRETERAS- INVERSION.-PAVIMENTACION C/EL DELGADILLO</t>
  </si>
  <si>
    <t>45300/6191520(2020)</t>
  </si>
  <si>
    <t>45300/6191620</t>
  </si>
  <si>
    <t>CARRETERAS- INVERSION.-PAVIMENTACION CNO EL FARO</t>
  </si>
  <si>
    <t>45300/6191620(2020)</t>
  </si>
  <si>
    <t>Total Grupo de Programa  453CARRETERAS</t>
  </si>
  <si>
    <t>45911/2279900</t>
  </si>
  <si>
    <t>OTRAS INFRAESTRUCTURAS - SERVICIO MANTENIMIENTO, CONSERVACIÓ</t>
  </si>
  <si>
    <t>Total Grupo de Programa  459OTRAS INFRAESTRUCTURAS</t>
  </si>
  <si>
    <t>49100/2200100</t>
  </si>
  <si>
    <t>SOCIEDAD DE LA INFORMACIÓN-MATERIAL DE OFICINA-PRENSA, REVIS</t>
  </si>
  <si>
    <t>49*/22*</t>
  </si>
  <si>
    <t>49100/2260200</t>
  </si>
  <si>
    <t>SOCIEDAD INFORMACIÓN-COMUNICACIONES-GTOS DIVERSOS-PUBLICIDAD</t>
  </si>
  <si>
    <t>49100/2279900</t>
  </si>
  <si>
    <t>SDAD INFORMACION.-OTROS TRABAJOS REALIZADOS</t>
  </si>
  <si>
    <t>Total Grupo de Programa  491SOCIEDAD DE LA INFORMACION</t>
  </si>
  <si>
    <t>91200/1000000</t>
  </si>
  <si>
    <t>ÓRGANOS DE GOBIERNO-RETRIBUCIONES BÁSICAS Y OTRAS</t>
  </si>
  <si>
    <t>9*/1*</t>
  </si>
  <si>
    <t>Total Concepto  100RETRIBUCIONES BASICAS Y OTRAS REMUNERACIONES A O.G</t>
  </si>
  <si>
    <t>91200/1100000</t>
  </si>
  <si>
    <t>ÓRGANOS DE GOBIERNO -RETRIB. BÁSICAS PERS. EVENTUAL GABINETE</t>
  </si>
  <si>
    <t>Total Concepto  110RETRIBUCIONES BASICAS Y OT RETRIBUCIONES PERS.EVEN</t>
  </si>
  <si>
    <t>91200/1600100</t>
  </si>
  <si>
    <t>ÓRGANOS DE GOBIERNO-SEGURIDAD SOCIAL.- PERSONAL EVENTUAL</t>
  </si>
  <si>
    <t>91200/1600000</t>
  </si>
  <si>
    <t>ÓRGANOS DE GOBIERNO-SEGURIDAD SOCIAL</t>
  </si>
  <si>
    <t>91200/2219900</t>
  </si>
  <si>
    <t>ÓRGANOS DE GOBIERNO.-MATERIAL Y SUMINISTROS VARIOS</t>
  </si>
  <si>
    <t>91*/22*</t>
  </si>
  <si>
    <t>91200/2260100</t>
  </si>
  <si>
    <t>ÓRGANOS DE GOBIERNO-GASTOS DIVERSOS-ATENCIONES PROTOCOLARIAS</t>
  </si>
  <si>
    <t>912*/22601*</t>
  </si>
  <si>
    <t>91200/2279900</t>
  </si>
  <si>
    <t>ÓRGANOS DE GOBIERNO-OTROS TRABAJOS REALIZADOS OTRAS EMPRESAS</t>
  </si>
  <si>
    <t>91200/2300000</t>
  </si>
  <si>
    <t>ÓRGANOS DE GOBIERNO- DIETAS DEL PERSONAL</t>
  </si>
  <si>
    <t>91*/23*</t>
  </si>
  <si>
    <t>91200/2310000</t>
  </si>
  <si>
    <t>ÓRGANOS DE GOBIERNO-LOCOMOCIÓN</t>
  </si>
  <si>
    <t>Total Concepto  231LOCOMOCION</t>
  </si>
  <si>
    <t>91200/2330000</t>
  </si>
  <si>
    <t>ÓRGANOS DE GOBIERNO- OTRAS INDEMNIZACIONES</t>
  </si>
  <si>
    <t>Total Concepto  233OTRAS INDEMNIZACIONES</t>
  </si>
  <si>
    <t>91200/4890000</t>
  </si>
  <si>
    <t>ÓRGANOS DE GOBIERNO-A FAMILIAS E INSTITUCIONES SIN FINES DE</t>
  </si>
  <si>
    <t>91*/48*</t>
  </si>
  <si>
    <t>91200/4890020</t>
  </si>
  <si>
    <t>ÓRGANOS DE GOBIERNO-A GRUPOS POLITICOS</t>
  </si>
  <si>
    <t>91200/4890020(2020)</t>
  </si>
  <si>
    <t>Total Grupo de Programa  912ORGANOS DE GOBIERNO</t>
  </si>
  <si>
    <t>92000/1200500</t>
  </si>
  <si>
    <t>ADMINISTRACIÓN GENERAL-SUELDOS GRUPO CE</t>
  </si>
  <si>
    <t>92000/1200000</t>
  </si>
  <si>
    <t>ADMINISTRACIÓN GENERAL-SUELDOS GRUPO A1</t>
  </si>
  <si>
    <t>92000/1200300</t>
  </si>
  <si>
    <t>ADMINISTRACIÓN GENERAL-SUELDOS GRUPO C1</t>
  </si>
  <si>
    <t>92000/1200400</t>
  </si>
  <si>
    <t>ADMINISTRACIÓN GENERAL-SUELDOS GRUPO C2</t>
  </si>
  <si>
    <t>92000/1200600</t>
  </si>
  <si>
    <t>ADMINISTRACIÓN GENERAL-TRIENIOS</t>
  </si>
  <si>
    <t>92000/1210300</t>
  </si>
  <si>
    <t>ADMINISTRACIÓN GENERAL-OTROS COMPLEMENTOS</t>
  </si>
  <si>
    <t>92000/1210101</t>
  </si>
  <si>
    <t>ADMINISTRACIÓN GENERAL-COMPLEMENTO ESPECIFICO VARIABLE</t>
  </si>
  <si>
    <t>92000/1210000</t>
  </si>
  <si>
    <t>ADMINISTRACIÓN GENERAL-COMPLEMENTO DESTINO</t>
  </si>
  <si>
    <t>92000/1210100</t>
  </si>
  <si>
    <t>ADMINISTRACIÓN GENERAL-COMPLEMENTO ESPECÍFICO</t>
  </si>
  <si>
    <t>92000/1300000</t>
  </si>
  <si>
    <t>ADMINISTRACIÓN GENERAL-RETRIBUCIONES BÁSICAS</t>
  </si>
  <si>
    <t>92000/1310000</t>
  </si>
  <si>
    <t>ADMINISTRACIÓN GENERAL-RETRIBUCIONES</t>
  </si>
  <si>
    <t>92000/1500000</t>
  </si>
  <si>
    <t>ADMINISTRACIÓN GENERAL-PRODUCTIVIDAD</t>
  </si>
  <si>
    <t>92000/1500100</t>
  </si>
  <si>
    <t>Total Concepto  150PRODUCTIVIDAD</t>
  </si>
  <si>
    <t>92000/1510000</t>
  </si>
  <si>
    <t>ADMINISTRACIÓN GENERAL - GRATIFICACIONES FUNCIONARIOS</t>
  </si>
  <si>
    <t>92000/1510100</t>
  </si>
  <si>
    <t>ADMINISTRACIÓN GENERAL. GRATIFICACIONES PERSONAL LABORAL</t>
  </si>
  <si>
    <t>92000/1600200</t>
  </si>
  <si>
    <t>ADMINISTRACIÓN GENERAL-SEGURIDAD SOCIAL.- PERSONAL FUNCIONAR</t>
  </si>
  <si>
    <t>92000/1600300</t>
  </si>
  <si>
    <t>ADMINISTRACIÓN GENERAL-SEGURIDAD SOCIAL.- PERSONAL LABORAL T</t>
  </si>
  <si>
    <t>92000/1600400</t>
  </si>
  <si>
    <t>ADMINISTRACIÓN GENERAL-SEGURIDAD SOCIAL.- PERSONAL LABORAL F</t>
  </si>
  <si>
    <t>92000/1610700</t>
  </si>
  <si>
    <t>ADM GRAL.-ASISTENCIA MEDICO-FARMAC. PENSIONISTAS</t>
  </si>
  <si>
    <t>92000/1620000</t>
  </si>
  <si>
    <t>ADM GRAL.-FORMACION Y PERFECCIONAMIENTO PERSONAL</t>
  </si>
  <si>
    <t>92000/2000000</t>
  </si>
  <si>
    <t>ADM GENERAL DE DEPORTE-ARRENDAMIENTO.- TERRENOS Y BB NATU</t>
  </si>
  <si>
    <t>92*/20*</t>
  </si>
  <si>
    <t>92000/2030000</t>
  </si>
  <si>
    <t>ADMINISTRACIÓN GENERAL -ARRENDAMIENTOS -MAQUINARIA, INSTALAC</t>
  </si>
  <si>
    <t>92000/2050000</t>
  </si>
  <si>
    <t>ADM GRAL.- ARRENDAMIENTO DE MOBILIARIO</t>
  </si>
  <si>
    <t>92000/2060000</t>
  </si>
  <si>
    <t>ADMINISTRACIÓN GENERAL-ARRENDAMIENTOS- EQUIPOS PARA PROCESO</t>
  </si>
  <si>
    <t>Total Concepto  206EQUIPOS DE PROCESO DE INFORMACION</t>
  </si>
  <si>
    <t>92000/2090000</t>
  </si>
  <si>
    <t>ADMINISTRACIÓN GENERAL-OTROS ARRENDAMIENTOS,CANON</t>
  </si>
  <si>
    <t>92000/2120020</t>
  </si>
  <si>
    <t>ADMINISTRACIÓN GENERAL-REPARACIÓN,  MANT.-EDIFICIOS</t>
  </si>
  <si>
    <t>92000/2120020(2020)</t>
  </si>
  <si>
    <t>92000/2120000</t>
  </si>
  <si>
    <t>92*/21*</t>
  </si>
  <si>
    <t>92000/2130000</t>
  </si>
  <si>
    <t>ADM GENERAL-REPARACIÓN,  MANTEN.-MAQUINARIA</t>
  </si>
  <si>
    <t>92000/2140000</t>
  </si>
  <si>
    <t>ADMINISTRACIÓN GENERAL-REPARACIÓN,  MANT.- VEHICULOS</t>
  </si>
  <si>
    <t>92000/2160000</t>
  </si>
  <si>
    <t>ADMINISTRACIÓN GENERAL-REPARACIÓN, MANT.- EQUIPOS INFORMACION</t>
  </si>
  <si>
    <t>Total Concepto  216EQUIPAMIENTO PARA PROCESOS DE INFORMACION</t>
  </si>
  <si>
    <t>92000/2200000</t>
  </si>
  <si>
    <t>ADMINISTRACIÓN GENERAL-MATERIAL DE OFICINA-ORDINARIO NO INVE</t>
  </si>
  <si>
    <t>92*/22*</t>
  </si>
  <si>
    <t>92000/2200200</t>
  </si>
  <si>
    <t>ADMINISTRACIÓN GENERAL-MATERIAL DE OFICINA-MATERIAL INFORMÁT</t>
  </si>
  <si>
    <t>92000/2200100</t>
  </si>
  <si>
    <t>ADMINISTRACIÓN GENERAL-MATERIAL DE OFICINA-PRENSA, REVISTA Y</t>
  </si>
  <si>
    <t>92000/2219900</t>
  </si>
  <si>
    <t>ADMINISTRACIÓN GENERAL-MATERIAL Y SUMINISTROS VARIOS</t>
  </si>
  <si>
    <t>92000/2211000</t>
  </si>
  <si>
    <t>ADMINISTRACIÓN GENERAL-SUMINISTROS- PRODUCTOS DE LIMPIEZA Y</t>
  </si>
  <si>
    <t>92000/2210400</t>
  </si>
  <si>
    <t>ADMINISTRACIÓN GENERAL-SUMINISTRO DE VESTUARIO</t>
  </si>
  <si>
    <t>92000/2210300</t>
  </si>
  <si>
    <t>ADMINISTRACIÓN GENERAL-SUMINISTRO-COMBUSTIBLES Y CARBURANTES</t>
  </si>
  <si>
    <t>92000/2210000</t>
  </si>
  <si>
    <t>ADMINISTRACIÓN GENERAL-SUMINISTRO-ENERGÍA ELÉCTRICA</t>
  </si>
  <si>
    <t>92000/2220100</t>
  </si>
  <si>
    <t>ADMINISTRACIÓN GENERAL-COMUNICACIONES POSTALES</t>
  </si>
  <si>
    <t>92000/2220000</t>
  </si>
  <si>
    <t>ADMINISTRACIÓN GENERAL- COMUNICACIONES TELEFÓNICAS</t>
  </si>
  <si>
    <t>Total Concepto  222COMUNICACIONES</t>
  </si>
  <si>
    <t>92000/2240000</t>
  </si>
  <si>
    <t>ADMINISTRACIÓN GENERAL-PRIMAS DE SEGUROS</t>
  </si>
  <si>
    <t>92000/2250100</t>
  </si>
  <si>
    <t>ADMINISTRACIÓN GENERAL-TRIBUTOS CDAD AUTÓNOMA</t>
  </si>
  <si>
    <t>92000/2250000</t>
  </si>
  <si>
    <t>ADMINISTRACIÓN GENERAL-TRIBUTOS ESTATALES</t>
  </si>
  <si>
    <t>92000/2250200</t>
  </si>
  <si>
    <t>ADMINISTRACIÓN GENERAL-TRIBUTOS DE LAS ENTIDADES LOCALES</t>
  </si>
  <si>
    <t>92000/2260200</t>
  </si>
  <si>
    <t>ADM GRAL.-COMUNICACIONES-GTOS DIVERSOS-PUBLICIDAD</t>
  </si>
  <si>
    <t>92000/2260700</t>
  </si>
  <si>
    <t>ADMON.GRAL.-GTOS.DIVERSOS.-OPOSICIONES Y PRUEBAS SELECTIVAS</t>
  </si>
  <si>
    <t>92000/2269900</t>
  </si>
  <si>
    <t>ADMINISTRACIÓN GENERAL-GASTOS DIVERSOS DE FUNCIONAMIENTO</t>
  </si>
  <si>
    <t>92000/2260400</t>
  </si>
  <si>
    <t>ADMINISTRACIÓN GENERAL-GASTOS DIVERSOS-JURÍDICOS Y CONTENCIO</t>
  </si>
  <si>
    <t>92000/2260300</t>
  </si>
  <si>
    <t>ADMINISTRACIÓN GENERAL-GASTOS DIVERSOS-PUBLICIDAD EN DIARIOS</t>
  </si>
  <si>
    <t>92000/2279900</t>
  </si>
  <si>
    <t>ADMINISTRACIÓN GRAL-OTROS TRABAJOS REALIZADOS OT EMPRESAS</t>
  </si>
  <si>
    <t>92000/2270000</t>
  </si>
  <si>
    <t>ADM GENERAL - TRABAJOS REALIZADOS OTRAS EMPRESAS.-SERV. LIMPIEZA</t>
  </si>
  <si>
    <t>92011/2279900</t>
  </si>
  <si>
    <t>ADMINISTRACIÓN GENERAL - ENCOMIENDA DE SERVICIO DE CENTROS P</t>
  </si>
  <si>
    <t>92000/2270600</t>
  </si>
  <si>
    <t>ADMON.GRAL.-TRAB.REAL.OT EMP.- ESTUDIOS Y TRAB TEC</t>
  </si>
  <si>
    <t>92001/2279900</t>
  </si>
  <si>
    <t>ADM GRAL-OTROS TRABAJOS REALIZADOS OT EMPRESAS.- P20.6 Conexión por fibra óptica</t>
  </si>
  <si>
    <t>92000/2300100</t>
  </si>
  <si>
    <t>ADMINISTRACIÓN GENERAL-DIETAS DEL PERSONAL</t>
  </si>
  <si>
    <t>92*/23*</t>
  </si>
  <si>
    <t>92000/2310000</t>
  </si>
  <si>
    <t>ADMINISTRACIÓN GENERAL-LOCOMOCIÓN</t>
  </si>
  <si>
    <t>92000/4890000</t>
  </si>
  <si>
    <t>ADMINISTRACIÓN GENERAL-A FAMILIAS E INSTITUCIONES S/F LUCRO.</t>
  </si>
  <si>
    <t>92*/48*</t>
  </si>
  <si>
    <t>92000/6250020</t>
  </si>
  <si>
    <t>ADMINISTRACIÓN GENERAL -INVERS. NUEVAS ASOCIADAS AL FUNC. DE</t>
  </si>
  <si>
    <t>92000/6250020(2020)</t>
  </si>
  <si>
    <t>92000/6260000</t>
  </si>
  <si>
    <t>ADMINISTRACIÓN GENERAL-INVERS. NUEVAS ASOCIADAS AL FUNC. DE</t>
  </si>
  <si>
    <t>92*/62*</t>
  </si>
  <si>
    <t>92000/6260020</t>
  </si>
  <si>
    <t>ADMINISTRACIÓN GENERAL-INVERS. NUEVA.-EQUIPOS INFORMACIÓN</t>
  </si>
  <si>
    <t>92000/6260020(2020)</t>
  </si>
  <si>
    <t>92000/6410000</t>
  </si>
  <si>
    <t>ADMINISTRACIÓN GENERAL - GASTOS EN INVERSIONES DE CARÁCTER I</t>
  </si>
  <si>
    <t>92*/64*</t>
  </si>
  <si>
    <t>92000/6410020</t>
  </si>
  <si>
    <t>ADMINISTRACIÓN GENERAL - GASTOS EN INVERSIONES.-APLICACIONES INFORMATICAS</t>
  </si>
  <si>
    <t>92000/6410020(2020)</t>
  </si>
  <si>
    <t>92000/8310100</t>
  </si>
  <si>
    <t>ADMINISTRACIÓN GENERAL-CONCESIÓN DE ANTICIPOS Y PRÉSTAMOS A</t>
  </si>
  <si>
    <t>9*/8*</t>
  </si>
  <si>
    <t>92000/8310000</t>
  </si>
  <si>
    <t>Total Concepto  831CONCESION PREST LARGO P. FUERA DEL SECTOR PUBLICO</t>
  </si>
  <si>
    <t>Total Grupo de Programa  920ADMINISTRACION GENERAL</t>
  </si>
  <si>
    <t>92400/2230000</t>
  </si>
  <si>
    <t>PARTICIPACIÓN CIUDADANA- TRANSPORTES</t>
  </si>
  <si>
    <t>92400/2279900</t>
  </si>
  <si>
    <t>PARTICIPACIÓN CIUDADANA-OTROS TRABAJOS REALIZADOS OT EMPRESAS</t>
  </si>
  <si>
    <t>Total Grupo de Programa  924PARTICIPACION CIUDADANA</t>
  </si>
  <si>
    <t>92511/2279900</t>
  </si>
  <si>
    <t>ATENCIÓN A LOS CIUDADANOS - ENCOMIENDA GESTIÓN SERV ATENCIÓN</t>
  </si>
  <si>
    <t>Total Grupo de Programa  925ATENCION A LOS CIUDADANOS</t>
  </si>
  <si>
    <t>92900/5000000</t>
  </si>
  <si>
    <t>IMPREVISTOS.- FONDO CONTINGENCIAS</t>
  </si>
  <si>
    <t>92*/50*</t>
  </si>
  <si>
    <t>Total Concepto  500FONDO DE CONTINGENCIAS</t>
  </si>
  <si>
    <t>Total Grupo de Programa  929IMPREVISTOS, SITUACIONES TRANSITORIAS Y CONTINGENC</t>
  </si>
  <si>
    <t>93100/1200400</t>
  </si>
  <si>
    <t>POLÍTICA ECONÓMICA Y FISCAL-SUELDOS GRUPO C2</t>
  </si>
  <si>
    <t>93100/1200600</t>
  </si>
  <si>
    <t>POLÍTICA ECONÓMICA Y FISCAL-TRIENIOS</t>
  </si>
  <si>
    <t>93100/1200000</t>
  </si>
  <si>
    <t>POLÍTICA ECONÓMICA Y FISCAL-SUELDOS GRUPO A1</t>
  </si>
  <si>
    <t>93100/1200100</t>
  </si>
  <si>
    <t>POLÍTICA ECONÓMICA Y FISCAL-SUELDOS GRUPO A2</t>
  </si>
  <si>
    <t>93100/1200300</t>
  </si>
  <si>
    <t>POLÍTICA ECONÓMICA Y FISCAL-SUELDOS GRUPO C1</t>
  </si>
  <si>
    <t>93100/1210300</t>
  </si>
  <si>
    <t>POLÍTICA ECONÓMICA Y FISCAL-OTROS COMPLEMENTOS</t>
  </si>
  <si>
    <t>93100/1210000</t>
  </si>
  <si>
    <t>POLÍTICA ECONÓMICA Y FISCAL-COMPLEMENTO DESTINO</t>
  </si>
  <si>
    <t>93100/1210100</t>
  </si>
  <si>
    <t>POLÍTICA ECONÓMICA Y FISCAL-COMPLEMENTO ESPECÍFICO</t>
  </si>
  <si>
    <t>93100/1310000</t>
  </si>
  <si>
    <t>POLÍTICA ECONÓMICA Y FISCAL-RETRIBUCIONES</t>
  </si>
  <si>
    <t>93100/1600300</t>
  </si>
  <si>
    <t>POLÍTICA ECONÓMICA Y FISCAL-SEGURIDAD SOCIAL.- PERSONAL LABO</t>
  </si>
  <si>
    <t>93100/1600200</t>
  </si>
  <si>
    <t>POLÍTICA ECONÓMICA Y FISCAL-SEGURIDAD SOCIAL.- PERSONAL FUNC</t>
  </si>
  <si>
    <t>93100/2020000</t>
  </si>
  <si>
    <t>ADMINISTRACIÓN FINANCIERA- ARRENDAMIENTOS- EDIFICIOS Y OTRAS</t>
  </si>
  <si>
    <t>93*/20*</t>
  </si>
  <si>
    <t>93100/2200100</t>
  </si>
  <si>
    <t>POLÍTICA ECONÓMICA Y FISCAL-MATERIAL DE OFICINA-PRENSA, REVI</t>
  </si>
  <si>
    <t>93*/22*</t>
  </si>
  <si>
    <t>93100/2279900</t>
  </si>
  <si>
    <t>POLÍTICA ECONÓMICA Y FISCAL-OTROS TRABAJOS REALIZ OTRAS EMPRES</t>
  </si>
  <si>
    <t>93100/3520000</t>
  </si>
  <si>
    <t>POLÍTICA ECONÓMICA Y FISCAL-INTERESES DE DEMORA</t>
  </si>
  <si>
    <t>9*/3*</t>
  </si>
  <si>
    <t>Total Concepto  352INTERESES DE DEMORA</t>
  </si>
  <si>
    <t>93100/3580000</t>
  </si>
  <si>
    <t>POLÍTICA ECONÓMICA Y FISCAL-INTERESES POR OPERACIONES DE ARR</t>
  </si>
  <si>
    <t>Total Concepto  358INTERESES ARRENDAMIENTO FINANCIERO</t>
  </si>
  <si>
    <t>93100/3590000</t>
  </si>
  <si>
    <t>Total Concepto  359OTROS GASTOS FINANCIEROS</t>
  </si>
  <si>
    <t>93100/4670000</t>
  </si>
  <si>
    <t>TRANSF. ADM. PÚBLICAS-A ENTIDADES LOCALES-A CONSORCIO(CONS</t>
  </si>
  <si>
    <t>93*/46*</t>
  </si>
  <si>
    <t>Total Grupo de Programa  931POLITICA ECONOMICA Y FISCAL</t>
  </si>
  <si>
    <t>93300/2120000</t>
  </si>
  <si>
    <t>GESTIÓN DEL PATRIMONIO.-EMBELLECIMIENTO PLAZAS CON VALOR PATRIMONIAL</t>
  </si>
  <si>
    <t>93*/21*</t>
  </si>
  <si>
    <t>93300/2219900</t>
  </si>
  <si>
    <t>GESTIÓN DEL PATRIMONIO.-SUMINISTROS VARIOS</t>
  </si>
  <si>
    <t>93300/2279900</t>
  </si>
  <si>
    <t>GESTIÓN DEL PATRIMONIO-OTROSTRABAJOS REALIZ OTRAS EMPRESAS</t>
  </si>
  <si>
    <t>93300/6190000</t>
  </si>
  <si>
    <t>PATRIMONIO.-ACONDICIONAMIENTO Y MEJORA DE CAMINO REAL</t>
  </si>
  <si>
    <t>93*/61*</t>
  </si>
  <si>
    <t>93300/6230020</t>
  </si>
  <si>
    <t>PATRIMONIO-SUBV. INVERSION NUEVA.- ACOND. RED SENDEROS</t>
  </si>
  <si>
    <t>93300/6230020(2020)</t>
  </si>
  <si>
    <t>93300/6320018</t>
  </si>
  <si>
    <t>PATRIMONIO-SUBV. INVERSION REPOSICION.-SECADERO DE TABACO</t>
  </si>
  <si>
    <t>93300/6320018(2020)</t>
  </si>
  <si>
    <t>93300/7800000</t>
  </si>
  <si>
    <t>PATRIMONIO.-TRANSF. CAPITAL.- REHABILITACION FACHADAS CASCO HISTORICO</t>
  </si>
  <si>
    <t>933*/78*</t>
  </si>
  <si>
    <t>Total Grupo de Programa  933GESTION DEL PATRIMONIO</t>
  </si>
  <si>
    <t>94300/4660000</t>
  </si>
  <si>
    <t>TRANSFERENCIAS A OTRAS ENTIDADES LOCALES-A ENTIDADES LOCALES</t>
  </si>
  <si>
    <t>94*/46*</t>
  </si>
  <si>
    <t>94300/4660100</t>
  </si>
  <si>
    <t>TRANSFERENCIAS A OTRAS ENTIDADES LOCALES-ENTIDADES QUE AGRUP</t>
  </si>
  <si>
    <t>Total Concepto  466A OTRAS ENTIDADES QUE AGRUPEN MUNICIPIOS</t>
  </si>
  <si>
    <t>Total Grupo de Programa  943TRANSFERENCIAS A OTRAS ENTIDADES LOCALES</t>
  </si>
  <si>
    <t>Total Gastos</t>
  </si>
  <si>
    <t>CRE_INI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</si>
</sst>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0.00\%"/>
  </numFmts>
  <fonts count="9">
    <font>
      <sz val="10"/>
      <color indexed="8"/>
      <name val="Arial"/>
      <family val="0"/>
    </font>
    <font>
      <sz val="10"/>
      <name val="Arial"/>
      <family val="0"/>
    </font>
    <font>
      <sz val="13"/>
      <color indexed="54"/>
      <name val="Arial"/>
      <family val="0"/>
    </font>
    <font>
      <sz val="10"/>
      <color indexed="54"/>
      <name val="Arial"/>
      <family val="0"/>
    </font>
    <font>
      <sz val="8"/>
      <color indexed="54"/>
      <name val="Arial"/>
      <family val="0"/>
    </font>
    <font>
      <b/>
      <sz val="7"/>
      <color indexed="54"/>
      <name val="serif"/>
      <family val="1"/>
    </font>
    <font>
      <b/>
      <sz val="6"/>
      <color indexed="54"/>
      <name val="serif"/>
      <family val="1"/>
    </font>
    <font>
      <sz val="7"/>
      <color indexed="54"/>
      <name val="serif"/>
      <family val="1"/>
    </font>
    <font>
      <sz val="10"/>
      <color indexed="8"/>
      <name val="serif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1" xfId="0" applyNumberFormat="1" applyFont="1" applyFill="1" applyBorder="1" applyAlignment="1" applyProtection="1">
      <alignment horizontal="left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/>
    </xf>
    <xf numFmtId="164" fontId="5" fillId="2" borderId="0" xfId="0" applyNumberFormat="1" applyFont="1" applyFill="1" applyAlignment="1" applyProtection="1">
      <alignment horizontal="center" vertical="top" wrapText="1"/>
      <protection/>
    </xf>
    <xf numFmtId="164" fontId="5" fillId="2" borderId="0" xfId="0" applyNumberFormat="1" applyFont="1" applyFill="1" applyBorder="1" applyAlignment="1" applyProtection="1">
      <alignment horizontal="left" vertical="top" wrapText="1"/>
      <protection/>
    </xf>
    <xf numFmtId="164" fontId="5" fillId="2" borderId="0" xfId="0" applyNumberFormat="1" applyFont="1" applyFill="1" applyBorder="1" applyAlignment="1" applyProtection="1">
      <alignment horizontal="center" vertical="top" wrapText="1"/>
      <protection/>
    </xf>
    <xf numFmtId="164" fontId="6" fillId="2" borderId="0" xfId="0" applyNumberFormat="1" applyFont="1" applyFill="1" applyAlignment="1" applyProtection="1">
      <alignment horizontal="center" vertical="top" wrapText="1"/>
      <protection/>
    </xf>
    <xf numFmtId="164" fontId="7" fillId="0" borderId="0" xfId="0" applyNumberFormat="1" applyFont="1" applyFill="1" applyAlignment="1" applyProtection="1">
      <alignment horizontal="center" vertical="top" wrapText="1"/>
      <protection/>
    </xf>
    <xf numFmtId="164" fontId="7" fillId="0" borderId="0" xfId="0" applyNumberFormat="1" applyFont="1" applyFill="1" applyBorder="1" applyAlignment="1" applyProtection="1">
      <alignment horizontal="left" vertical="top" wrapText="1"/>
      <protection/>
    </xf>
    <xf numFmtId="165" fontId="7" fillId="0" borderId="0" xfId="0" applyNumberFormat="1" applyFont="1" applyFill="1" applyAlignment="1" applyProtection="1">
      <alignment horizontal="right" vertical="top" wrapText="1"/>
      <protection/>
    </xf>
    <xf numFmtId="165" fontId="7" fillId="0" borderId="0" xfId="0" applyNumberFormat="1" applyFont="1" applyFill="1" applyBorder="1" applyAlignment="1" applyProtection="1">
      <alignment horizontal="right" vertical="top" wrapText="1"/>
      <protection/>
    </xf>
    <xf numFmtId="166" fontId="7" fillId="0" borderId="0" xfId="0" applyNumberFormat="1" applyFont="1" applyFill="1" applyAlignment="1" applyProtection="1">
      <alignment horizontal="right" vertical="top" wrapText="1"/>
      <protection/>
    </xf>
    <xf numFmtId="164" fontId="7" fillId="0" borderId="2" xfId="0" applyNumberFormat="1" applyFont="1" applyFill="1" applyBorder="1" applyAlignment="1" applyProtection="1">
      <alignment horizontal="left" vertical="top" wrapText="1"/>
      <protection/>
    </xf>
    <xf numFmtId="164" fontId="7" fillId="0" borderId="2" xfId="0" applyNumberFormat="1" applyFont="1" applyFill="1" applyBorder="1" applyAlignment="1" applyProtection="1">
      <alignment horizontal="right" vertical="top" wrapText="1"/>
      <protection/>
    </xf>
    <xf numFmtId="165" fontId="7" fillId="0" borderId="2" xfId="0" applyNumberFormat="1" applyFont="1" applyFill="1" applyBorder="1" applyAlignment="1" applyProtection="1">
      <alignment horizontal="right" vertical="top" wrapText="1"/>
      <protection/>
    </xf>
    <xf numFmtId="166" fontId="7" fillId="0" borderId="2" xfId="0" applyNumberFormat="1" applyFont="1" applyFill="1" applyBorder="1" applyAlignment="1" applyProtection="1">
      <alignment horizontal="right" vertical="top" wrapText="1"/>
      <protection/>
    </xf>
    <xf numFmtId="164" fontId="5" fillId="0" borderId="0" xfId="0" applyNumberFormat="1" applyFont="1" applyFill="1" applyBorder="1" applyAlignment="1" applyProtection="1">
      <alignment horizontal="right" vertical="top" wrapText="1"/>
      <protection/>
    </xf>
    <xf numFmtId="165" fontId="5" fillId="0" borderId="0" xfId="0" applyNumberFormat="1" applyFont="1" applyFill="1" applyAlignment="1" applyProtection="1">
      <alignment horizontal="right" vertical="top" wrapText="1"/>
      <protection/>
    </xf>
    <xf numFmtId="165" fontId="5" fillId="0" borderId="0" xfId="0" applyNumberFormat="1" applyFont="1" applyFill="1" applyBorder="1" applyAlignment="1" applyProtection="1">
      <alignment horizontal="right" vertical="top" wrapText="1"/>
      <protection/>
    </xf>
    <xf numFmtId="166" fontId="5" fillId="0" borderId="0" xfId="0" applyNumberFormat="1" applyFont="1" applyFill="1" applyAlignment="1" applyProtection="1">
      <alignment horizontal="righ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Border="1" applyAlignment="1" applyProtection="1">
      <alignment horizontal="left" vertical="top" wrapText="1"/>
      <protection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8" fillId="2" borderId="0" xfId="0" applyNumberFormat="1" applyFont="1" applyFill="1" applyBorder="1" applyAlignment="1" applyProtection="1">
      <alignment horizontal="left" vertical="top" wrapText="1"/>
      <protection/>
    </xf>
    <xf numFmtId="164" fontId="5" fillId="2" borderId="0" xfId="0" applyNumberFormat="1" applyFont="1" applyFill="1" applyBorder="1" applyAlignment="1" applyProtection="1">
      <alignment horizontal="right" vertical="top" wrapText="1"/>
      <protection/>
    </xf>
    <xf numFmtId="165" fontId="5" fillId="2" borderId="0" xfId="0" applyNumberFormat="1" applyFont="1" applyFill="1" applyAlignment="1" applyProtection="1">
      <alignment horizontal="right" vertical="top" wrapText="1"/>
      <protection/>
    </xf>
    <xf numFmtId="165" fontId="5" fillId="2" borderId="0" xfId="0" applyNumberFormat="1" applyFont="1" applyFill="1" applyBorder="1" applyAlignment="1" applyProtection="1">
      <alignment horizontal="right" vertical="top" wrapText="1"/>
      <protection/>
    </xf>
    <xf numFmtId="166" fontId="5" fillId="2" borderId="0" xfId="0" applyNumberFormat="1" applyFont="1" applyFill="1" applyAlignment="1" applyProtection="1">
      <alignment horizontal="righ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B599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3.00390625" style="0" customWidth="1"/>
    <col min="3" max="3" width="8.28125" style="0" customWidth="1"/>
    <col min="4" max="4" width="14.7109375" style="0" customWidth="1"/>
    <col min="5" max="8" width="11.28125" style="0" customWidth="1"/>
    <col min="9" max="9" width="11.00390625" style="0" customWidth="1"/>
    <col min="10" max="10" width="0.2890625" style="0" customWidth="1"/>
    <col min="11" max="11" width="9.57421875" style="0" customWidth="1"/>
    <col min="12" max="12" width="1.7109375" style="0" customWidth="1"/>
    <col min="13" max="15" width="11.28125" style="0" customWidth="1"/>
    <col min="16" max="17" width="6.421875" style="0" customWidth="1"/>
  </cols>
  <sheetData>
    <row r="1" spans="1:11" ht="17.25" customHeight="1">
      <c r="A1" s="1"/>
      <c r="B1" s="1"/>
      <c r="C1" s="1"/>
      <c r="D1" s="2"/>
      <c r="E1" s="2"/>
      <c r="F1" s="2"/>
      <c r="G1" s="2"/>
      <c r="H1" s="2"/>
      <c r="I1" s="2"/>
      <c r="J1" s="1"/>
      <c r="K1" s="1"/>
    </row>
    <row r="2" spans="1:11" ht="17.25" customHeight="1">
      <c r="A2" s="1"/>
      <c r="B2" s="1"/>
      <c r="C2" s="1"/>
      <c r="D2" s="3" t="s">
        <v>0</v>
      </c>
      <c r="E2" s="3"/>
      <c r="F2" s="3"/>
      <c r="G2" s="3"/>
      <c r="H2" s="3"/>
      <c r="I2" s="3"/>
      <c r="J2" s="1"/>
      <c r="K2" s="1"/>
    </row>
    <row r="3" spans="1:11" ht="17.25" customHeight="1">
      <c r="A3" s="1"/>
      <c r="B3" s="1"/>
      <c r="C3" s="1"/>
      <c r="D3" s="4" t="s">
        <v>1</v>
      </c>
      <c r="E3" s="4"/>
      <c r="F3" s="4"/>
      <c r="G3" s="4"/>
      <c r="H3" s="4"/>
      <c r="I3" s="4"/>
      <c r="J3" s="1"/>
      <c r="K3" s="1"/>
    </row>
    <row r="4" spans="1:11" ht="17.25" customHeight="1">
      <c r="A4" s="1"/>
      <c r="B4" s="1"/>
      <c r="C4" s="1"/>
      <c r="D4" s="5" t="s">
        <v>2</v>
      </c>
      <c r="E4" s="5"/>
      <c r="F4" s="5"/>
      <c r="G4" s="5"/>
      <c r="H4" s="5"/>
      <c r="I4" s="5"/>
      <c r="J4" s="1"/>
      <c r="K4" s="1"/>
    </row>
    <row r="5" spans="1:11" ht="17.25" customHeight="1">
      <c r="A5" s="1"/>
      <c r="B5" s="1"/>
      <c r="C5" s="1"/>
      <c r="D5" s="5" t="s">
        <v>3</v>
      </c>
      <c r="E5" s="5"/>
      <c r="F5" s="5"/>
      <c r="G5" s="5"/>
      <c r="H5" s="5"/>
      <c r="I5" s="5"/>
      <c r="J5" s="1"/>
      <c r="K5" s="1"/>
    </row>
    <row r="6" spans="1:11" ht="17.25" customHeight="1">
      <c r="A6" s="1"/>
      <c r="B6" s="1"/>
      <c r="C6" s="1"/>
      <c r="D6" s="5"/>
      <c r="E6" s="5"/>
      <c r="F6" s="5"/>
      <c r="G6" s="5"/>
      <c r="H6" s="5"/>
      <c r="I6" s="5"/>
      <c r="J6" s="1"/>
      <c r="K6" s="1"/>
    </row>
    <row r="7" spans="1:17" ht="12.75" customHeight="1">
      <c r="A7" s="6" t="s">
        <v>4</v>
      </c>
      <c r="B7" s="7" t="s">
        <v>5</v>
      </c>
      <c r="C7" s="7"/>
      <c r="D7" s="7"/>
      <c r="E7" s="6" t="s">
        <v>6</v>
      </c>
      <c r="F7" s="6" t="s">
        <v>7</v>
      </c>
      <c r="G7" s="6" t="s">
        <v>8</v>
      </c>
      <c r="H7" s="6" t="s">
        <v>9</v>
      </c>
      <c r="I7" s="8" t="s">
        <v>10</v>
      </c>
      <c r="J7" s="8"/>
      <c r="K7" s="8" t="s">
        <v>11</v>
      </c>
      <c r="L7" s="8"/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</row>
    <row r="8" spans="1:17" ht="12.75" customHeight="1">
      <c r="A8" s="8" t="s">
        <v>17</v>
      </c>
      <c r="B8" s="8"/>
      <c r="C8" s="8"/>
      <c r="D8" s="8"/>
      <c r="E8" s="6" t="s">
        <v>18</v>
      </c>
      <c r="F8" s="6" t="s">
        <v>19</v>
      </c>
      <c r="G8" s="6" t="s">
        <v>20</v>
      </c>
      <c r="H8" s="6" t="s">
        <v>21</v>
      </c>
      <c r="I8" s="8" t="s">
        <v>22</v>
      </c>
      <c r="J8" s="8"/>
      <c r="K8" s="8" t="s">
        <v>23</v>
      </c>
      <c r="L8" s="8"/>
      <c r="M8" s="6" t="s">
        <v>24</v>
      </c>
      <c r="N8" s="6" t="s">
        <v>25</v>
      </c>
      <c r="O8" s="6" t="s">
        <v>26</v>
      </c>
      <c r="P8" s="6" t="s">
        <v>27</v>
      </c>
      <c r="Q8" s="9" t="s">
        <v>28</v>
      </c>
    </row>
    <row r="9" spans="1:17" ht="12.75" customHeight="1">
      <c r="A9" s="10"/>
      <c r="B9" s="11" t="s">
        <v>29</v>
      </c>
      <c r="C9" s="11"/>
      <c r="D9" s="11"/>
      <c r="E9" s="12">
        <f>ROUND(5000,2)</f>
        <v>5000</v>
      </c>
      <c r="F9" s="12">
        <f aca="true" t="shared" si="0" ref="F9:F10">ROUND(0,2)</f>
        <v>0</v>
      </c>
      <c r="G9" s="12">
        <f>ROUND(5000,2)</f>
        <v>5000</v>
      </c>
      <c r="H9" s="12">
        <f aca="true" t="shared" si="1" ref="H9:H10">ROUND(0,2)</f>
        <v>0</v>
      </c>
      <c r="I9" s="13">
        <f aca="true" t="shared" si="2" ref="I9:I10">ROUND(0,2)</f>
        <v>0</v>
      </c>
      <c r="J9" s="13"/>
      <c r="K9" s="13">
        <f aca="true" t="shared" si="3" ref="K9:K10">ROUND(0,2)</f>
        <v>0</v>
      </c>
      <c r="L9" s="13"/>
      <c r="M9" s="12">
        <f aca="true" t="shared" si="4" ref="M9:M10">ROUND(0,2)</f>
        <v>0</v>
      </c>
      <c r="N9" s="12">
        <f aca="true" t="shared" si="5" ref="N9:N10">ROUND(0,2)</f>
        <v>0</v>
      </c>
      <c r="O9" s="12">
        <f aca="true" t="shared" si="6" ref="O9:O10">ROUND(5000,2)</f>
        <v>5000</v>
      </c>
      <c r="P9" s="14">
        <v>100</v>
      </c>
      <c r="Q9" s="14">
        <v>0</v>
      </c>
    </row>
    <row r="10" spans="1:17" ht="12.75" customHeight="1">
      <c r="A10" s="15" t="s">
        <v>30</v>
      </c>
      <c r="B10" s="15"/>
      <c r="C10" s="15"/>
      <c r="D10" s="15"/>
      <c r="E10" s="16" t="s">
        <v>31</v>
      </c>
      <c r="F10" s="17">
        <f t="shared" si="0"/>
        <v>0</v>
      </c>
      <c r="G10" s="17">
        <f>ROUND(0,2)</f>
        <v>0</v>
      </c>
      <c r="H10" s="17">
        <f t="shared" si="1"/>
        <v>0</v>
      </c>
      <c r="I10" s="17">
        <f t="shared" si="2"/>
        <v>0</v>
      </c>
      <c r="J10" s="17"/>
      <c r="K10" s="17">
        <f t="shared" si="3"/>
        <v>0</v>
      </c>
      <c r="L10" s="17"/>
      <c r="M10" s="17">
        <f t="shared" si="4"/>
        <v>0</v>
      </c>
      <c r="N10" s="17">
        <f t="shared" si="5"/>
        <v>0</v>
      </c>
      <c r="O10" s="17">
        <f t="shared" si="6"/>
        <v>5000</v>
      </c>
      <c r="P10" s="18">
        <v>0</v>
      </c>
      <c r="Q10" s="18">
        <v>0</v>
      </c>
    </row>
    <row r="11" spans="1:17" ht="12.75" customHeight="1">
      <c r="A11" s="19" t="s">
        <v>32</v>
      </c>
      <c r="B11" s="19"/>
      <c r="C11" s="19"/>
      <c r="D11" s="19"/>
      <c r="E11" s="20">
        <f>SUM('DS1'!$A$2)</f>
        <v>5000</v>
      </c>
      <c r="F11" s="20">
        <v>0</v>
      </c>
      <c r="G11" s="20">
        <v>5000</v>
      </c>
      <c r="H11" s="20">
        <v>0</v>
      </c>
      <c r="I11" s="21">
        <v>0</v>
      </c>
      <c r="J11" s="21"/>
      <c r="K11" s="21">
        <v>0</v>
      </c>
      <c r="L11" s="21"/>
      <c r="M11" s="20">
        <v>0</v>
      </c>
      <c r="N11" s="20">
        <v>0</v>
      </c>
      <c r="O11" s="20">
        <v>5000</v>
      </c>
      <c r="P11" s="22">
        <v>100</v>
      </c>
      <c r="Q11" s="22">
        <v>0</v>
      </c>
    </row>
    <row r="12" spans="1:17" ht="12.75" customHeight="1">
      <c r="A12" s="23"/>
      <c r="B12" s="24"/>
      <c r="C12" s="24"/>
      <c r="D12" s="24"/>
      <c r="E12" s="23"/>
      <c r="F12" s="20">
        <v>0</v>
      </c>
      <c r="G12" s="20">
        <v>0</v>
      </c>
      <c r="H12" s="20">
        <v>0</v>
      </c>
      <c r="I12" s="21">
        <v>0</v>
      </c>
      <c r="J12" s="21"/>
      <c r="K12" s="21">
        <v>0</v>
      </c>
      <c r="L12" s="21"/>
      <c r="M12" s="20">
        <v>0</v>
      </c>
      <c r="N12" s="20">
        <v>0</v>
      </c>
      <c r="O12" s="20">
        <v>5000</v>
      </c>
      <c r="P12" s="22">
        <v>0</v>
      </c>
      <c r="Q12" s="22">
        <v>0</v>
      </c>
    </row>
    <row r="13" spans="1:17" ht="20.25" customHeight="1">
      <c r="A13" s="23"/>
      <c r="B13" s="24"/>
      <c r="C13" s="24"/>
      <c r="D13" s="24"/>
      <c r="E13" s="23"/>
      <c r="F13" s="23"/>
      <c r="G13" s="23"/>
      <c r="H13" s="23"/>
      <c r="I13" s="24"/>
      <c r="J13" s="24"/>
      <c r="K13" s="24"/>
      <c r="L13" s="24"/>
      <c r="M13" s="23"/>
      <c r="N13" s="23"/>
      <c r="O13" s="23"/>
      <c r="P13" s="23"/>
      <c r="Q13" s="23"/>
    </row>
    <row r="14" spans="1:17" ht="12.75" customHeight="1">
      <c r="A14" s="19" t="s">
        <v>33</v>
      </c>
      <c r="B14" s="19"/>
      <c r="C14" s="19"/>
      <c r="D14" s="19"/>
      <c r="E14" s="20">
        <f>SUM('DS1'!$A$2)</f>
        <v>5000</v>
      </c>
      <c r="F14" s="20">
        <v>0</v>
      </c>
      <c r="G14" s="20">
        <v>5000</v>
      </c>
      <c r="H14" s="20">
        <v>0</v>
      </c>
      <c r="I14" s="21">
        <v>0</v>
      </c>
      <c r="J14" s="21"/>
      <c r="K14" s="21">
        <v>0</v>
      </c>
      <c r="L14" s="21"/>
      <c r="M14" s="20">
        <v>0</v>
      </c>
      <c r="N14" s="20">
        <v>0</v>
      </c>
      <c r="O14" s="20">
        <v>5000</v>
      </c>
      <c r="P14" s="22">
        <v>100</v>
      </c>
      <c r="Q14" s="22">
        <v>0</v>
      </c>
    </row>
    <row r="15" spans="1:17" ht="12.75" customHeight="1">
      <c r="A15" s="23"/>
      <c r="B15" s="24"/>
      <c r="C15" s="24"/>
      <c r="D15" s="24"/>
      <c r="E15" s="23"/>
      <c r="F15" s="20">
        <v>0</v>
      </c>
      <c r="G15" s="20">
        <v>0</v>
      </c>
      <c r="H15" s="20">
        <v>0</v>
      </c>
      <c r="I15" s="21">
        <v>0</v>
      </c>
      <c r="J15" s="21"/>
      <c r="K15" s="21">
        <v>0</v>
      </c>
      <c r="L15" s="21"/>
      <c r="M15" s="20">
        <v>0</v>
      </c>
      <c r="N15" s="20">
        <v>0</v>
      </c>
      <c r="O15" s="20">
        <v>5000</v>
      </c>
      <c r="P15" s="22">
        <v>0</v>
      </c>
      <c r="Q15" s="22">
        <v>0</v>
      </c>
    </row>
    <row r="16" spans="1:17" ht="18" customHeight="1">
      <c r="A16" s="23"/>
      <c r="B16" s="24"/>
      <c r="C16" s="24"/>
      <c r="D16" s="24"/>
      <c r="E16" s="23"/>
      <c r="F16" s="23"/>
      <c r="G16" s="23"/>
      <c r="H16" s="23"/>
      <c r="I16" s="24"/>
      <c r="J16" s="24"/>
      <c r="K16" s="24"/>
      <c r="L16" s="24"/>
      <c r="M16" s="23"/>
      <c r="N16" s="23"/>
      <c r="O16" s="23"/>
      <c r="P16" s="23"/>
      <c r="Q16" s="23"/>
    </row>
    <row r="17" spans="1:17" ht="12.75" customHeight="1">
      <c r="A17" s="10"/>
      <c r="B17" s="11" t="s">
        <v>34</v>
      </c>
      <c r="C17" s="11"/>
      <c r="D17" s="11"/>
      <c r="E17" s="12">
        <f>ROUND(120000,2)</f>
        <v>120000</v>
      </c>
      <c r="F17" s="12">
        <f>ROUND(-28000,2)</f>
        <v>-28000</v>
      </c>
      <c r="G17" s="12">
        <f>ROUND(92000,2)</f>
        <v>92000</v>
      </c>
      <c r="H17" s="12">
        <f>ROUND(90000,2)</f>
        <v>90000</v>
      </c>
      <c r="I17" s="13">
        <f aca="true" t="shared" si="7" ref="I17:I18">ROUND(90000,2)</f>
        <v>90000</v>
      </c>
      <c r="J17" s="13"/>
      <c r="K17" s="13">
        <f aca="true" t="shared" si="8" ref="K17:K18">ROUND(0,2)</f>
        <v>0</v>
      </c>
      <c r="L17" s="13"/>
      <c r="M17" s="12">
        <f aca="true" t="shared" si="9" ref="M17:M18">ROUND(0,2)</f>
        <v>0</v>
      </c>
      <c r="N17" s="12">
        <f aca="true" t="shared" si="10" ref="N17:N18">ROUND(0,2)</f>
        <v>0</v>
      </c>
      <c r="O17" s="12">
        <f>ROUND(2000,2)</f>
        <v>2000</v>
      </c>
      <c r="P17" s="14">
        <v>2.1739130434782608</v>
      </c>
      <c r="Q17" s="14">
        <v>0</v>
      </c>
    </row>
    <row r="18" spans="1:17" ht="12.75" customHeight="1">
      <c r="A18" s="15" t="s">
        <v>35</v>
      </c>
      <c r="B18" s="15"/>
      <c r="C18" s="15"/>
      <c r="D18" s="15"/>
      <c r="E18" s="16" t="s">
        <v>36</v>
      </c>
      <c r="F18" s="17">
        <f>ROUND(0,2)</f>
        <v>0</v>
      </c>
      <c r="G18" s="17">
        <f>ROUND(0,2)</f>
        <v>0</v>
      </c>
      <c r="H18" s="17">
        <f>ROUND(0,2)</f>
        <v>0</v>
      </c>
      <c r="I18" s="17">
        <f t="shared" si="7"/>
        <v>90000</v>
      </c>
      <c r="J18" s="17"/>
      <c r="K18" s="17">
        <f t="shared" si="8"/>
        <v>0</v>
      </c>
      <c r="L18" s="17"/>
      <c r="M18" s="17">
        <f t="shared" si="9"/>
        <v>0</v>
      </c>
      <c r="N18" s="17">
        <f t="shared" si="10"/>
        <v>0</v>
      </c>
      <c r="O18" s="17">
        <f>ROUND(92000,2)</f>
        <v>92000</v>
      </c>
      <c r="P18" s="18">
        <v>75</v>
      </c>
      <c r="Q18" s="18">
        <v>0</v>
      </c>
    </row>
    <row r="19" spans="1:17" ht="12.75" customHeight="1">
      <c r="A19" s="19" t="s">
        <v>37</v>
      </c>
      <c r="B19" s="19"/>
      <c r="C19" s="19"/>
      <c r="D19" s="19"/>
      <c r="E19" s="20">
        <f>SUM('DS1'!$A$3)</f>
        <v>120000</v>
      </c>
      <c r="F19" s="20">
        <v>-28000</v>
      </c>
      <c r="G19" s="20">
        <v>92000</v>
      </c>
      <c r="H19" s="20">
        <v>90000</v>
      </c>
      <c r="I19" s="21">
        <v>90000</v>
      </c>
      <c r="J19" s="21"/>
      <c r="K19" s="21">
        <v>0</v>
      </c>
      <c r="L19" s="21"/>
      <c r="M19" s="20">
        <v>0</v>
      </c>
      <c r="N19" s="20">
        <v>0</v>
      </c>
      <c r="O19" s="20">
        <v>2000</v>
      </c>
      <c r="P19" s="22">
        <v>2.1739130434782608</v>
      </c>
      <c r="Q19" s="22">
        <v>0</v>
      </c>
    </row>
    <row r="20" spans="1:17" ht="12.75" customHeight="1">
      <c r="A20" s="23"/>
      <c r="B20" s="24"/>
      <c r="C20" s="24"/>
      <c r="D20" s="24"/>
      <c r="E20" s="23"/>
      <c r="F20" s="20">
        <v>0</v>
      </c>
      <c r="G20" s="20">
        <v>0</v>
      </c>
      <c r="H20" s="20">
        <v>0</v>
      </c>
      <c r="I20" s="21">
        <v>90000</v>
      </c>
      <c r="J20" s="21"/>
      <c r="K20" s="21">
        <v>0</v>
      </c>
      <c r="L20" s="21"/>
      <c r="M20" s="20">
        <v>0</v>
      </c>
      <c r="N20" s="20">
        <v>0</v>
      </c>
      <c r="O20" s="20">
        <v>92000</v>
      </c>
      <c r="P20" s="22">
        <v>97.82608695652173</v>
      </c>
      <c r="Q20" s="22">
        <v>0</v>
      </c>
    </row>
    <row r="21" spans="1:17" ht="20.25" customHeight="1">
      <c r="A21" s="23"/>
      <c r="B21" s="24"/>
      <c r="C21" s="24"/>
      <c r="D21" s="24"/>
      <c r="E21" s="23"/>
      <c r="F21" s="23"/>
      <c r="G21" s="23"/>
      <c r="H21" s="23"/>
      <c r="I21" s="24"/>
      <c r="J21" s="24"/>
      <c r="K21" s="24"/>
      <c r="L21" s="24"/>
      <c r="M21" s="23"/>
      <c r="N21" s="23"/>
      <c r="O21" s="23"/>
      <c r="P21" s="23"/>
      <c r="Q21" s="23"/>
    </row>
    <row r="22" spans="1:17" ht="12.75" customHeight="1">
      <c r="A22" s="19" t="s">
        <v>38</v>
      </c>
      <c r="B22" s="19"/>
      <c r="C22" s="19"/>
      <c r="D22" s="19"/>
      <c r="E22" s="20">
        <f>SUM('DS1'!$A$3)</f>
        <v>120000</v>
      </c>
      <c r="F22" s="20">
        <v>-28000</v>
      </c>
      <c r="G22" s="20">
        <v>92000</v>
      </c>
      <c r="H22" s="20">
        <v>90000</v>
      </c>
      <c r="I22" s="21">
        <v>90000</v>
      </c>
      <c r="J22" s="21"/>
      <c r="K22" s="21">
        <v>0</v>
      </c>
      <c r="L22" s="21"/>
      <c r="M22" s="20">
        <v>0</v>
      </c>
      <c r="N22" s="20">
        <v>0</v>
      </c>
      <c r="O22" s="20">
        <v>2000</v>
      </c>
      <c r="P22" s="22">
        <v>2.1739130434782608</v>
      </c>
      <c r="Q22" s="22">
        <v>0</v>
      </c>
    </row>
    <row r="23" spans="1:17" ht="12.75" customHeight="1">
      <c r="A23" s="23"/>
      <c r="B23" s="24"/>
      <c r="C23" s="24"/>
      <c r="D23" s="24"/>
      <c r="E23" s="23"/>
      <c r="F23" s="20">
        <v>0</v>
      </c>
      <c r="G23" s="20">
        <v>0</v>
      </c>
      <c r="H23" s="20">
        <v>0</v>
      </c>
      <c r="I23" s="21">
        <v>90000</v>
      </c>
      <c r="J23" s="21"/>
      <c r="K23" s="21">
        <v>0</v>
      </c>
      <c r="L23" s="21"/>
      <c r="M23" s="20">
        <v>0</v>
      </c>
      <c r="N23" s="20">
        <v>0</v>
      </c>
      <c r="O23" s="20">
        <v>92000</v>
      </c>
      <c r="P23" s="22">
        <v>97.82608695652173</v>
      </c>
      <c r="Q23" s="22">
        <v>0</v>
      </c>
    </row>
    <row r="24" spans="1:17" ht="18" customHeight="1">
      <c r="A24" s="23"/>
      <c r="B24" s="24"/>
      <c r="C24" s="24"/>
      <c r="D24" s="24"/>
      <c r="E24" s="23"/>
      <c r="F24" s="23"/>
      <c r="G24" s="23"/>
      <c r="H24" s="23"/>
      <c r="I24" s="24"/>
      <c r="J24" s="24"/>
      <c r="K24" s="24"/>
      <c r="L24" s="24"/>
      <c r="M24" s="23"/>
      <c r="N24" s="23"/>
      <c r="O24" s="23"/>
      <c r="P24" s="23"/>
      <c r="Q24" s="23"/>
    </row>
    <row r="25" spans="1:17" ht="12.75" customHeight="1">
      <c r="A25" s="10"/>
      <c r="B25" s="11" t="s">
        <v>39</v>
      </c>
      <c r="C25" s="11"/>
      <c r="D25" s="11"/>
      <c r="E25" s="12">
        <f>ROUND(115113.46,2)</f>
        <v>115113.46</v>
      </c>
      <c r="F25" s="12">
        <f>ROUND(1036.02,2)</f>
        <v>1036.02</v>
      </c>
      <c r="G25" s="12">
        <f>ROUND(116149.48,2)</f>
        <v>116149.48</v>
      </c>
      <c r="H25" s="12">
        <f>ROUND(103069.72,2)</f>
        <v>103069.72</v>
      </c>
      <c r="I25" s="13">
        <f>ROUND(103069.72,2)</f>
        <v>103069.72</v>
      </c>
      <c r="J25" s="13"/>
      <c r="K25" s="13">
        <f>ROUND(103069.72,2)</f>
        <v>103069.72</v>
      </c>
      <c r="L25" s="13"/>
      <c r="M25" s="12">
        <f>ROUND(103069.72,2)</f>
        <v>103069.72</v>
      </c>
      <c r="N25" s="12">
        <f>ROUND(103069.72,2)</f>
        <v>103069.72</v>
      </c>
      <c r="O25" s="12">
        <f>ROUND(13079.76,2)</f>
        <v>13079.76</v>
      </c>
      <c r="P25" s="14">
        <v>11.261143829485935</v>
      </c>
      <c r="Q25" s="14">
        <v>88.73885617051405</v>
      </c>
    </row>
    <row r="26" spans="1:17" ht="12.75" customHeight="1">
      <c r="A26" s="15" t="s">
        <v>40</v>
      </c>
      <c r="B26" s="15"/>
      <c r="C26" s="15"/>
      <c r="D26" s="15"/>
      <c r="E26" s="16" t="s">
        <v>41</v>
      </c>
      <c r="F26" s="17">
        <f>ROUND(0,2)</f>
        <v>0</v>
      </c>
      <c r="G26" s="17">
        <f>ROUND(0,2)</f>
        <v>0</v>
      </c>
      <c r="H26" s="17">
        <f aca="true" t="shared" si="11" ref="H26:H28">ROUND(0,2)</f>
        <v>0</v>
      </c>
      <c r="I26" s="17">
        <f aca="true" t="shared" si="12" ref="I26:I28">ROUND(0,2)</f>
        <v>0</v>
      </c>
      <c r="J26" s="17"/>
      <c r="K26" s="17">
        <f aca="true" t="shared" si="13" ref="K26:K28">ROUND(0,2)</f>
        <v>0</v>
      </c>
      <c r="L26" s="17"/>
      <c r="M26" s="17">
        <f aca="true" t="shared" si="14" ref="M26:M28">ROUND(0,2)</f>
        <v>0</v>
      </c>
      <c r="N26" s="17">
        <f aca="true" t="shared" si="15" ref="N26:N28">ROUND(0,2)</f>
        <v>0</v>
      </c>
      <c r="O26" s="17">
        <f>ROUND(13079.76,2)</f>
        <v>13079.76</v>
      </c>
      <c r="P26" s="18">
        <v>88.73885617051405</v>
      </c>
      <c r="Q26" s="18">
        <v>100</v>
      </c>
    </row>
    <row r="27" spans="1:17" ht="12.75" customHeight="1">
      <c r="A27" s="10"/>
      <c r="B27" s="11" t="s">
        <v>42</v>
      </c>
      <c r="C27" s="11"/>
      <c r="D27" s="11"/>
      <c r="E27" s="12">
        <f>ROUND(9093.06,2)</f>
        <v>9093.06</v>
      </c>
      <c r="F27" s="12">
        <f>ROUND(81.84,2)</f>
        <v>81.84</v>
      </c>
      <c r="G27" s="12">
        <f>ROUND(9174.9,2)</f>
        <v>9174.9</v>
      </c>
      <c r="H27" s="12">
        <f t="shared" si="11"/>
        <v>0</v>
      </c>
      <c r="I27" s="13">
        <f t="shared" si="12"/>
        <v>0</v>
      </c>
      <c r="J27" s="13"/>
      <c r="K27" s="13">
        <f t="shared" si="13"/>
        <v>0</v>
      </c>
      <c r="L27" s="13"/>
      <c r="M27" s="12">
        <f t="shared" si="14"/>
        <v>0</v>
      </c>
      <c r="N27" s="12">
        <f t="shared" si="15"/>
        <v>0</v>
      </c>
      <c r="O27" s="12">
        <f aca="true" t="shared" si="16" ref="O27:O28">ROUND(9174.9,2)</f>
        <v>9174.9</v>
      </c>
      <c r="P27" s="14">
        <v>100</v>
      </c>
      <c r="Q27" s="14">
        <v>0</v>
      </c>
    </row>
    <row r="28" spans="1:17" ht="12.75" customHeight="1">
      <c r="A28" s="15" t="s">
        <v>43</v>
      </c>
      <c r="B28" s="15"/>
      <c r="C28" s="15"/>
      <c r="D28" s="15"/>
      <c r="E28" s="16" t="s">
        <v>41</v>
      </c>
      <c r="F28" s="17">
        <f>ROUND(0,2)</f>
        <v>0</v>
      </c>
      <c r="G28" s="17">
        <f>ROUND(0,2)</f>
        <v>0</v>
      </c>
      <c r="H28" s="17">
        <f t="shared" si="11"/>
        <v>0</v>
      </c>
      <c r="I28" s="17">
        <f t="shared" si="12"/>
        <v>0</v>
      </c>
      <c r="J28" s="17"/>
      <c r="K28" s="17">
        <f t="shared" si="13"/>
        <v>0</v>
      </c>
      <c r="L28" s="17"/>
      <c r="M28" s="17">
        <f t="shared" si="14"/>
        <v>0</v>
      </c>
      <c r="N28" s="17">
        <f t="shared" si="15"/>
        <v>0</v>
      </c>
      <c r="O28" s="17">
        <f t="shared" si="16"/>
        <v>9174.9</v>
      </c>
      <c r="P28" s="18">
        <v>0</v>
      </c>
      <c r="Q28" s="18">
        <v>0</v>
      </c>
    </row>
    <row r="29" spans="1:17" ht="12.75" customHeight="1">
      <c r="A29" s="10"/>
      <c r="B29" s="11" t="s">
        <v>44</v>
      </c>
      <c r="C29" s="11"/>
      <c r="D29" s="11"/>
      <c r="E29" s="12">
        <f>ROUND(697305.7,2)</f>
        <v>697305.7</v>
      </c>
      <c r="F29" s="12">
        <f>ROUND(6275.75,2)</f>
        <v>6275.75</v>
      </c>
      <c r="G29" s="12">
        <f>ROUND(703581.45,2)</f>
        <v>703581.45</v>
      </c>
      <c r="H29" s="12">
        <f>ROUND(531225.53,2)</f>
        <v>531225.53</v>
      </c>
      <c r="I29" s="13">
        <f>ROUND(531225.53,2)</f>
        <v>531225.53</v>
      </c>
      <c r="J29" s="13"/>
      <c r="K29" s="13">
        <f>ROUND(531225.53,2)</f>
        <v>531225.53</v>
      </c>
      <c r="L29" s="13"/>
      <c r="M29" s="12">
        <f>ROUND(531225.53,2)</f>
        <v>531225.53</v>
      </c>
      <c r="N29" s="12">
        <f>ROUND(531225.53,2)</f>
        <v>531225.53</v>
      </c>
      <c r="O29" s="12">
        <f>ROUND(172355.92,2)</f>
        <v>172355.92</v>
      </c>
      <c r="P29" s="14">
        <v>24.496939195881303</v>
      </c>
      <c r="Q29" s="14">
        <v>75.5030608041187</v>
      </c>
    </row>
    <row r="30" spans="1:17" ht="12.75" customHeight="1">
      <c r="A30" s="15" t="s">
        <v>45</v>
      </c>
      <c r="B30" s="15"/>
      <c r="C30" s="15"/>
      <c r="D30" s="15"/>
      <c r="E30" s="16" t="s">
        <v>41</v>
      </c>
      <c r="F30" s="17">
        <f>ROUND(0,2)</f>
        <v>0</v>
      </c>
      <c r="G30" s="17">
        <f>ROUND(0,2)</f>
        <v>0</v>
      </c>
      <c r="H30" s="17">
        <f aca="true" t="shared" si="17" ref="H30:H32">ROUND(0,2)</f>
        <v>0</v>
      </c>
      <c r="I30" s="17">
        <f aca="true" t="shared" si="18" ref="I30:I32">ROUND(0,2)</f>
        <v>0</v>
      </c>
      <c r="J30" s="17"/>
      <c r="K30" s="17">
        <f aca="true" t="shared" si="19" ref="K30:K32">ROUND(0,2)</f>
        <v>0</v>
      </c>
      <c r="L30" s="17"/>
      <c r="M30" s="17">
        <f aca="true" t="shared" si="20" ref="M30:M32">ROUND(0,2)</f>
        <v>0</v>
      </c>
      <c r="N30" s="17">
        <f aca="true" t="shared" si="21" ref="N30:N32">ROUND(0,2)</f>
        <v>0</v>
      </c>
      <c r="O30" s="17">
        <f>ROUND(172355.92,2)</f>
        <v>172355.92</v>
      </c>
      <c r="P30" s="18">
        <v>75.5030608041187</v>
      </c>
      <c r="Q30" s="18">
        <v>100</v>
      </c>
    </row>
    <row r="31" spans="1:17" ht="12.75" customHeight="1">
      <c r="A31" s="10"/>
      <c r="B31" s="11" t="s">
        <v>46</v>
      </c>
      <c r="C31" s="11"/>
      <c r="D31" s="11"/>
      <c r="E31" s="12">
        <f>ROUND(28013.88,2)</f>
        <v>28013.88</v>
      </c>
      <c r="F31" s="12">
        <f>ROUND(252.12,2)</f>
        <v>252.12</v>
      </c>
      <c r="G31" s="12">
        <f>ROUND(28266,2)</f>
        <v>28266</v>
      </c>
      <c r="H31" s="12">
        <f t="shared" si="17"/>
        <v>0</v>
      </c>
      <c r="I31" s="13">
        <f t="shared" si="18"/>
        <v>0</v>
      </c>
      <c r="J31" s="13"/>
      <c r="K31" s="13">
        <f t="shared" si="19"/>
        <v>0</v>
      </c>
      <c r="L31" s="13"/>
      <c r="M31" s="12">
        <f t="shared" si="20"/>
        <v>0</v>
      </c>
      <c r="N31" s="12">
        <f t="shared" si="21"/>
        <v>0</v>
      </c>
      <c r="O31" s="12">
        <f aca="true" t="shared" si="22" ref="O31:O32">ROUND(28266,2)</f>
        <v>28266</v>
      </c>
      <c r="P31" s="14">
        <v>100</v>
      </c>
      <c r="Q31" s="14">
        <v>0</v>
      </c>
    </row>
    <row r="32" spans="1:17" ht="12.75" customHeight="1">
      <c r="A32" s="15" t="s">
        <v>47</v>
      </c>
      <c r="B32" s="15"/>
      <c r="C32" s="15"/>
      <c r="D32" s="15"/>
      <c r="E32" s="16" t="s">
        <v>41</v>
      </c>
      <c r="F32" s="17">
        <f>ROUND(0,2)</f>
        <v>0</v>
      </c>
      <c r="G32" s="17">
        <f>ROUND(0,2)</f>
        <v>0</v>
      </c>
      <c r="H32" s="17">
        <f t="shared" si="17"/>
        <v>0</v>
      </c>
      <c r="I32" s="17">
        <f t="shared" si="18"/>
        <v>0</v>
      </c>
      <c r="J32" s="17"/>
      <c r="K32" s="17">
        <f t="shared" si="19"/>
        <v>0</v>
      </c>
      <c r="L32" s="17"/>
      <c r="M32" s="17">
        <f t="shared" si="20"/>
        <v>0</v>
      </c>
      <c r="N32" s="17">
        <f t="shared" si="21"/>
        <v>0</v>
      </c>
      <c r="O32" s="17">
        <f t="shared" si="22"/>
        <v>28266</v>
      </c>
      <c r="P32" s="18">
        <v>0</v>
      </c>
      <c r="Q32" s="18">
        <v>0</v>
      </c>
    </row>
    <row r="33" spans="1:17" ht="12.75" customHeight="1">
      <c r="A33" s="19" t="s">
        <v>48</v>
      </c>
      <c r="B33" s="19"/>
      <c r="C33" s="19"/>
      <c r="D33" s="19"/>
      <c r="E33" s="20">
        <f>SUM('DS1'!$A$4:$A$7)</f>
        <v>849526.1</v>
      </c>
      <c r="F33" s="20">
        <v>7645.73</v>
      </c>
      <c r="G33" s="20">
        <v>857171.83</v>
      </c>
      <c r="H33" s="20">
        <v>634295.25</v>
      </c>
      <c r="I33" s="21">
        <v>634295.25</v>
      </c>
      <c r="J33" s="21"/>
      <c r="K33" s="21">
        <v>634295.25</v>
      </c>
      <c r="L33" s="21"/>
      <c r="M33" s="20">
        <v>634295.25</v>
      </c>
      <c r="N33" s="20">
        <v>634295.25</v>
      </c>
      <c r="O33" s="20">
        <v>222876.58</v>
      </c>
      <c r="P33" s="22">
        <v>26.001388776390378</v>
      </c>
      <c r="Q33" s="22">
        <v>73.99861122360963</v>
      </c>
    </row>
    <row r="34" spans="1:17" ht="12.75" customHeight="1">
      <c r="A34" s="23"/>
      <c r="B34" s="24"/>
      <c r="C34" s="24"/>
      <c r="D34" s="24"/>
      <c r="E34" s="23"/>
      <c r="F34" s="20">
        <v>0</v>
      </c>
      <c r="G34" s="20">
        <v>0</v>
      </c>
      <c r="H34" s="20">
        <v>0</v>
      </c>
      <c r="I34" s="21">
        <v>0</v>
      </c>
      <c r="J34" s="21"/>
      <c r="K34" s="21">
        <v>0</v>
      </c>
      <c r="L34" s="21"/>
      <c r="M34" s="20">
        <v>0</v>
      </c>
      <c r="N34" s="20">
        <v>0</v>
      </c>
      <c r="O34" s="20">
        <v>222876.57999999993</v>
      </c>
      <c r="P34" s="22">
        <v>73.99861122360963</v>
      </c>
      <c r="Q34" s="22">
        <v>100</v>
      </c>
    </row>
    <row r="35" spans="1:17" ht="20.25" customHeight="1">
      <c r="A35" s="23"/>
      <c r="B35" s="24"/>
      <c r="C35" s="24"/>
      <c r="D35" s="24"/>
      <c r="E35" s="23"/>
      <c r="F35" s="23"/>
      <c r="G35" s="23"/>
      <c r="H35" s="23"/>
      <c r="I35" s="24"/>
      <c r="J35" s="24"/>
      <c r="K35" s="24"/>
      <c r="L35" s="24"/>
      <c r="M35" s="23"/>
      <c r="N35" s="23"/>
      <c r="O35" s="23"/>
      <c r="P35" s="23"/>
      <c r="Q35" s="23"/>
    </row>
    <row r="36" spans="1:17" ht="12.75" customHeight="1">
      <c r="A36" s="10"/>
      <c r="B36" s="11" t="s">
        <v>49</v>
      </c>
      <c r="C36" s="11"/>
      <c r="D36" s="11"/>
      <c r="E36" s="12">
        <f>ROUND(102985.08,2)</f>
        <v>102985.08</v>
      </c>
      <c r="F36" s="12">
        <f>ROUND(926.87,2)</f>
        <v>926.87</v>
      </c>
      <c r="G36" s="12">
        <f>ROUND(103911.95,2)</f>
        <v>103911.95</v>
      </c>
      <c r="H36" s="12">
        <f>ROUND(70327.56,2)</f>
        <v>70327.56</v>
      </c>
      <c r="I36" s="13">
        <f>ROUND(70327.56,2)</f>
        <v>70327.56</v>
      </c>
      <c r="J36" s="13"/>
      <c r="K36" s="13">
        <f>ROUND(70327.56,2)</f>
        <v>70327.56</v>
      </c>
      <c r="L36" s="13"/>
      <c r="M36" s="12">
        <f>ROUND(70327.56,2)</f>
        <v>70327.56</v>
      </c>
      <c r="N36" s="12">
        <f>ROUND(70327.56,2)</f>
        <v>70327.56</v>
      </c>
      <c r="O36" s="12">
        <f aca="true" t="shared" si="23" ref="O36:O37">ROUND(33584.39,2)</f>
        <v>33584.39</v>
      </c>
      <c r="P36" s="14">
        <v>32.32004596198993</v>
      </c>
      <c r="Q36" s="14">
        <v>67.67995403801007</v>
      </c>
    </row>
    <row r="37" spans="1:17" ht="12.75" customHeight="1">
      <c r="A37" s="15" t="s">
        <v>50</v>
      </c>
      <c r="B37" s="15"/>
      <c r="C37" s="15"/>
      <c r="D37" s="15"/>
      <c r="E37" s="16" t="s">
        <v>41</v>
      </c>
      <c r="F37" s="17">
        <f>ROUND(0,2)</f>
        <v>0</v>
      </c>
      <c r="G37" s="17">
        <f>ROUND(0,2)</f>
        <v>0</v>
      </c>
      <c r="H37" s="17">
        <f>ROUND(0,2)</f>
        <v>0</v>
      </c>
      <c r="I37" s="17">
        <f>ROUND(0,2)</f>
        <v>0</v>
      </c>
      <c r="J37" s="17"/>
      <c r="K37" s="17">
        <f>ROUND(0,2)</f>
        <v>0</v>
      </c>
      <c r="L37" s="17"/>
      <c r="M37" s="17">
        <f>ROUND(0,2)</f>
        <v>0</v>
      </c>
      <c r="N37" s="17">
        <f>ROUND(0,2)</f>
        <v>0</v>
      </c>
      <c r="O37" s="17">
        <f t="shared" si="23"/>
        <v>33584.39</v>
      </c>
      <c r="P37" s="18">
        <v>67.67995403801007</v>
      </c>
      <c r="Q37" s="18">
        <v>100</v>
      </c>
    </row>
    <row r="38" spans="1:17" ht="12.75" customHeight="1">
      <c r="A38" s="10"/>
      <c r="B38" s="11" t="s">
        <v>51</v>
      </c>
      <c r="C38" s="11"/>
      <c r="D38" s="11"/>
      <c r="E38" s="12">
        <f>ROUND(1091820.94,2)</f>
        <v>1091820.94</v>
      </c>
      <c r="F38" s="12">
        <f>ROUND(9826.39,2)</f>
        <v>9826.39</v>
      </c>
      <c r="G38" s="12">
        <f>ROUND(1101647.33,2)</f>
        <v>1101647.33</v>
      </c>
      <c r="H38" s="12">
        <f>ROUND(744078.86,2)</f>
        <v>744078.86</v>
      </c>
      <c r="I38" s="13">
        <f>ROUND(744078.86,2)</f>
        <v>744078.86</v>
      </c>
      <c r="J38" s="13"/>
      <c r="K38" s="13">
        <f>ROUND(744078.86,2)</f>
        <v>744078.86</v>
      </c>
      <c r="L38" s="13"/>
      <c r="M38" s="12">
        <f>ROUND(744078.86,2)</f>
        <v>744078.86</v>
      </c>
      <c r="N38" s="12">
        <f>ROUND(744078.86,2)</f>
        <v>744078.86</v>
      </c>
      <c r="O38" s="12">
        <f>ROUND(357568.47,2)</f>
        <v>357568.47</v>
      </c>
      <c r="P38" s="14">
        <v>32.457616903587464</v>
      </c>
      <c r="Q38" s="14">
        <v>67.54238309641254</v>
      </c>
    </row>
    <row r="39" spans="1:17" ht="12.75" customHeight="1">
      <c r="A39" s="15" t="s">
        <v>52</v>
      </c>
      <c r="B39" s="15"/>
      <c r="C39" s="15"/>
      <c r="D39" s="15"/>
      <c r="E39" s="16" t="s">
        <v>41</v>
      </c>
      <c r="F39" s="17">
        <f>ROUND(0,2)</f>
        <v>0</v>
      </c>
      <c r="G39" s="17">
        <f>ROUND(0,2)</f>
        <v>0</v>
      </c>
      <c r="H39" s="17">
        <f>ROUND(0,2)</f>
        <v>0</v>
      </c>
      <c r="I39" s="17">
        <f>ROUND(0,2)</f>
        <v>0</v>
      </c>
      <c r="J39" s="17"/>
      <c r="K39" s="17">
        <f>ROUND(0,2)</f>
        <v>0</v>
      </c>
      <c r="L39" s="17"/>
      <c r="M39" s="17">
        <f>ROUND(0,2)</f>
        <v>0</v>
      </c>
      <c r="N39" s="17">
        <f>ROUND(0,2)</f>
        <v>0</v>
      </c>
      <c r="O39" s="17">
        <f>ROUND(357568.47,2)</f>
        <v>357568.47</v>
      </c>
      <c r="P39" s="18">
        <v>67.54238309641254</v>
      </c>
      <c r="Q39" s="18">
        <v>100</v>
      </c>
    </row>
    <row r="40" spans="1:17" ht="12.75" customHeight="1">
      <c r="A40" s="10"/>
      <c r="B40" s="11" t="s">
        <v>53</v>
      </c>
      <c r="C40" s="11"/>
      <c r="D40" s="11"/>
      <c r="E40" s="12">
        <f>ROUND(190000,2)</f>
        <v>190000</v>
      </c>
      <c r="F40" s="12">
        <f>ROUND(1710,2)</f>
        <v>1710</v>
      </c>
      <c r="G40" s="12">
        <f>ROUND(191710,2)</f>
        <v>191710</v>
      </c>
      <c r="H40" s="12">
        <f>ROUND(96562.98,2)</f>
        <v>96562.98</v>
      </c>
      <c r="I40" s="13">
        <f>ROUND(96562.98,2)</f>
        <v>96562.98</v>
      </c>
      <c r="J40" s="13"/>
      <c r="K40" s="13">
        <f>ROUND(96562.98,2)</f>
        <v>96562.98</v>
      </c>
      <c r="L40" s="13"/>
      <c r="M40" s="12">
        <f>ROUND(96562.98,2)</f>
        <v>96562.98</v>
      </c>
      <c r="N40" s="12">
        <f>ROUND(96562.98,2)</f>
        <v>96562.98</v>
      </c>
      <c r="O40" s="12">
        <f aca="true" t="shared" si="24" ref="O40:O41">ROUND(95147.02,2)</f>
        <v>95147.02</v>
      </c>
      <c r="P40" s="14">
        <v>49.63070262375463</v>
      </c>
      <c r="Q40" s="14">
        <v>50.36929737624537</v>
      </c>
    </row>
    <row r="41" spans="1:17" ht="12.75" customHeight="1">
      <c r="A41" s="15" t="s">
        <v>54</v>
      </c>
      <c r="B41" s="15"/>
      <c r="C41" s="15"/>
      <c r="D41" s="15"/>
      <c r="E41" s="16" t="s">
        <v>41</v>
      </c>
      <c r="F41" s="17">
        <f>ROUND(0,2)</f>
        <v>0</v>
      </c>
      <c r="G41" s="17">
        <f>ROUND(0,2)</f>
        <v>0</v>
      </c>
      <c r="H41" s="17">
        <f>ROUND(0,2)</f>
        <v>0</v>
      </c>
      <c r="I41" s="17">
        <f>ROUND(0,2)</f>
        <v>0</v>
      </c>
      <c r="J41" s="17"/>
      <c r="K41" s="17">
        <f>ROUND(0,2)</f>
        <v>0</v>
      </c>
      <c r="L41" s="17"/>
      <c r="M41" s="17">
        <f>ROUND(0,2)</f>
        <v>0</v>
      </c>
      <c r="N41" s="17">
        <f>ROUND(0,2)</f>
        <v>0</v>
      </c>
      <c r="O41" s="17">
        <f t="shared" si="24"/>
        <v>95147.02</v>
      </c>
      <c r="P41" s="18">
        <v>50.36929737624537</v>
      </c>
      <c r="Q41" s="18">
        <v>100</v>
      </c>
    </row>
    <row r="42" spans="1:17" ht="12.75" customHeight="1">
      <c r="A42" s="10"/>
      <c r="B42" s="11" t="s">
        <v>55</v>
      </c>
      <c r="C42" s="11"/>
      <c r="D42" s="11"/>
      <c r="E42" s="12">
        <f>ROUND(459681.46,2)</f>
        <v>459681.46</v>
      </c>
      <c r="F42" s="12">
        <f>ROUND(4137.13,2)</f>
        <v>4137.13</v>
      </c>
      <c r="G42" s="12">
        <f>ROUND(463818.59,2)</f>
        <v>463818.59</v>
      </c>
      <c r="H42" s="12">
        <f>ROUND(315664.5,2)</f>
        <v>315664.5</v>
      </c>
      <c r="I42" s="13">
        <f>ROUND(315664.5,2)</f>
        <v>315664.5</v>
      </c>
      <c r="J42" s="13"/>
      <c r="K42" s="13">
        <f>ROUND(315664.5,2)</f>
        <v>315664.5</v>
      </c>
      <c r="L42" s="13"/>
      <c r="M42" s="12">
        <f>ROUND(315664.5,2)</f>
        <v>315664.5</v>
      </c>
      <c r="N42" s="12">
        <f>ROUND(315664.5,2)</f>
        <v>315664.5</v>
      </c>
      <c r="O42" s="12">
        <f>ROUND(148154.09,2)</f>
        <v>148154.09</v>
      </c>
      <c r="P42" s="14">
        <v>31.942249231536834</v>
      </c>
      <c r="Q42" s="14">
        <v>68.05775076846315</v>
      </c>
    </row>
    <row r="43" spans="1:17" ht="12.75" customHeight="1">
      <c r="A43" s="15" t="s">
        <v>56</v>
      </c>
      <c r="B43" s="15"/>
      <c r="C43" s="15"/>
      <c r="D43" s="15"/>
      <c r="E43" s="16" t="s">
        <v>41</v>
      </c>
      <c r="F43" s="17">
        <f>ROUND(0,2)</f>
        <v>0</v>
      </c>
      <c r="G43" s="17">
        <f>ROUND(0,2)</f>
        <v>0</v>
      </c>
      <c r="H43" s="17">
        <f>ROUND(0,2)</f>
        <v>0</v>
      </c>
      <c r="I43" s="17">
        <f>ROUND(0,2)</f>
        <v>0</v>
      </c>
      <c r="J43" s="17"/>
      <c r="K43" s="17">
        <f>ROUND(0,2)</f>
        <v>0</v>
      </c>
      <c r="L43" s="17"/>
      <c r="M43" s="17">
        <f>ROUND(0,2)</f>
        <v>0</v>
      </c>
      <c r="N43" s="17">
        <f>ROUND(0,2)</f>
        <v>0</v>
      </c>
      <c r="O43" s="17">
        <f>ROUND(148154.09,2)</f>
        <v>148154.09</v>
      </c>
      <c r="P43" s="18">
        <v>68.05775076846315</v>
      </c>
      <c r="Q43" s="18">
        <v>100</v>
      </c>
    </row>
    <row r="44" spans="1:17" ht="12.75" customHeight="1">
      <c r="A44" s="19" t="s">
        <v>57</v>
      </c>
      <c r="B44" s="19"/>
      <c r="C44" s="19"/>
      <c r="D44" s="19"/>
      <c r="E44" s="20">
        <f>SUM('DS1'!$A$8:$A$11)</f>
        <v>1844487.48</v>
      </c>
      <c r="F44" s="20">
        <v>16600.39</v>
      </c>
      <c r="G44" s="20">
        <v>1861087.87</v>
      </c>
      <c r="H44" s="20">
        <v>1226633.9</v>
      </c>
      <c r="I44" s="21">
        <v>1226633.9</v>
      </c>
      <c r="J44" s="21"/>
      <c r="K44" s="21">
        <v>1226633.9</v>
      </c>
      <c r="L44" s="21"/>
      <c r="M44" s="20">
        <v>1226633.9</v>
      </c>
      <c r="N44" s="20">
        <v>1226633.9</v>
      </c>
      <c r="O44" s="20">
        <v>634453.97</v>
      </c>
      <c r="P44" s="22">
        <v>34.09048977359677</v>
      </c>
      <c r="Q44" s="22">
        <v>65.90951022640323</v>
      </c>
    </row>
    <row r="45" spans="1:17" ht="12.75" customHeight="1">
      <c r="A45" s="23"/>
      <c r="B45" s="24"/>
      <c r="C45" s="24"/>
      <c r="D45" s="24"/>
      <c r="E45" s="23"/>
      <c r="F45" s="20">
        <v>0</v>
      </c>
      <c r="G45" s="20">
        <v>0</v>
      </c>
      <c r="H45" s="20">
        <v>0</v>
      </c>
      <c r="I45" s="21">
        <v>0</v>
      </c>
      <c r="J45" s="21"/>
      <c r="K45" s="21">
        <v>0</v>
      </c>
      <c r="L45" s="21"/>
      <c r="M45" s="20">
        <v>0</v>
      </c>
      <c r="N45" s="20">
        <v>0</v>
      </c>
      <c r="O45" s="20">
        <v>634453.97</v>
      </c>
      <c r="P45" s="22">
        <v>65.90951022640323</v>
      </c>
      <c r="Q45" s="22">
        <v>100</v>
      </c>
    </row>
    <row r="46" spans="1:17" ht="20.25" customHeight="1">
      <c r="A46" s="23"/>
      <c r="B46" s="24"/>
      <c r="C46" s="24"/>
      <c r="D46" s="24"/>
      <c r="E46" s="23"/>
      <c r="F46" s="23"/>
      <c r="G46" s="23"/>
      <c r="H46" s="23"/>
      <c r="I46" s="24"/>
      <c r="J46" s="24"/>
      <c r="K46" s="24"/>
      <c r="L46" s="24"/>
      <c r="M46" s="23"/>
      <c r="N46" s="23"/>
      <c r="O46" s="23"/>
      <c r="P46" s="23"/>
      <c r="Q46" s="23"/>
    </row>
    <row r="47" spans="1:17" ht="12.75" customHeight="1">
      <c r="A47" s="10"/>
      <c r="B47" s="11" t="s">
        <v>58</v>
      </c>
      <c r="C47" s="11"/>
      <c r="D47" s="11"/>
      <c r="E47" s="12">
        <f>ROUND(45295.04,2)</f>
        <v>45295.04</v>
      </c>
      <c r="F47" s="12">
        <f>ROUND(407.66,2)</f>
        <v>407.66</v>
      </c>
      <c r="G47" s="12">
        <f>ROUND(45702.7,2)</f>
        <v>45702.7</v>
      </c>
      <c r="H47" s="12">
        <f>ROUND(70277.54,2)</f>
        <v>70277.54</v>
      </c>
      <c r="I47" s="13">
        <f>ROUND(70277.54,2)</f>
        <v>70277.54</v>
      </c>
      <c r="J47" s="13"/>
      <c r="K47" s="13">
        <f>ROUND(70277.54,2)</f>
        <v>70277.54</v>
      </c>
      <c r="L47" s="13"/>
      <c r="M47" s="12">
        <f>ROUND(70277.54,2)</f>
        <v>70277.54</v>
      </c>
      <c r="N47" s="12">
        <f>ROUND(70277.54,2)</f>
        <v>70277.54</v>
      </c>
      <c r="O47" s="12">
        <f>ROUND(-24574.84,2)</f>
        <v>-24574.84</v>
      </c>
      <c r="P47" s="14">
        <v>-53.77109011064991</v>
      </c>
      <c r="Q47" s="14">
        <v>153.77109011064988</v>
      </c>
    </row>
    <row r="48" spans="1:17" ht="12.75" customHeight="1">
      <c r="A48" s="15" t="s">
        <v>59</v>
      </c>
      <c r="B48" s="15"/>
      <c r="C48" s="15"/>
      <c r="D48" s="15"/>
      <c r="E48" s="16" t="s">
        <v>41</v>
      </c>
      <c r="F48" s="17">
        <f>ROUND(0,2)</f>
        <v>0</v>
      </c>
      <c r="G48" s="17">
        <f>ROUND(0,2)</f>
        <v>0</v>
      </c>
      <c r="H48" s="17">
        <f>ROUND(0,2)</f>
        <v>0</v>
      </c>
      <c r="I48" s="17">
        <f>ROUND(0,2)</f>
        <v>0</v>
      </c>
      <c r="J48" s="17"/>
      <c r="K48" s="17">
        <f>ROUND(0,2)</f>
        <v>0</v>
      </c>
      <c r="L48" s="17"/>
      <c r="M48" s="17">
        <f>ROUND(0,2)</f>
        <v>0</v>
      </c>
      <c r="N48" s="17">
        <f>ROUND(0,2)</f>
        <v>0</v>
      </c>
      <c r="O48" s="17">
        <f>ROUND(-24574.84,2)</f>
        <v>-24574.84</v>
      </c>
      <c r="P48" s="18">
        <v>153.77109011064988</v>
      </c>
      <c r="Q48" s="18">
        <v>100</v>
      </c>
    </row>
    <row r="49" spans="1:17" ht="12.75" customHeight="1">
      <c r="A49" s="19" t="s">
        <v>60</v>
      </c>
      <c r="B49" s="19"/>
      <c r="C49" s="19"/>
      <c r="D49" s="19"/>
      <c r="E49" s="20">
        <f>SUM('DS1'!$A$12)</f>
        <v>45295.04</v>
      </c>
      <c r="F49" s="20">
        <v>407.66</v>
      </c>
      <c r="G49" s="20">
        <v>45702.7</v>
      </c>
      <c r="H49" s="20">
        <v>70277.54</v>
      </c>
      <c r="I49" s="21">
        <v>70277.54</v>
      </c>
      <c r="J49" s="21"/>
      <c r="K49" s="21">
        <v>70277.54</v>
      </c>
      <c r="L49" s="21"/>
      <c r="M49" s="20">
        <v>70277.54</v>
      </c>
      <c r="N49" s="20">
        <v>70277.54</v>
      </c>
      <c r="O49" s="20">
        <v>-24574.84</v>
      </c>
      <c r="P49" s="22">
        <v>-53.77109011064991</v>
      </c>
      <c r="Q49" s="22">
        <v>153.77109011064988</v>
      </c>
    </row>
    <row r="50" spans="1:17" ht="12.75" customHeight="1">
      <c r="A50" s="23"/>
      <c r="B50" s="24"/>
      <c r="C50" s="24"/>
      <c r="D50" s="24"/>
      <c r="E50" s="23"/>
      <c r="F50" s="20">
        <v>0</v>
      </c>
      <c r="G50" s="20">
        <v>0</v>
      </c>
      <c r="H50" s="20">
        <v>0</v>
      </c>
      <c r="I50" s="21">
        <v>0</v>
      </c>
      <c r="J50" s="21"/>
      <c r="K50" s="21">
        <v>0</v>
      </c>
      <c r="L50" s="21"/>
      <c r="M50" s="20">
        <v>0</v>
      </c>
      <c r="N50" s="20">
        <v>0</v>
      </c>
      <c r="O50" s="20">
        <v>-24574.83999999999</v>
      </c>
      <c r="P50" s="22">
        <v>153.77109011064988</v>
      </c>
      <c r="Q50" s="22">
        <v>100</v>
      </c>
    </row>
    <row r="51" spans="1:17" ht="20.25" customHeight="1">
      <c r="A51" s="23"/>
      <c r="B51" s="24"/>
      <c r="C51" s="24"/>
      <c r="D51" s="24"/>
      <c r="E51" s="23"/>
      <c r="F51" s="23"/>
      <c r="G51" s="23"/>
      <c r="H51" s="23"/>
      <c r="I51" s="24"/>
      <c r="J51" s="24"/>
      <c r="K51" s="24"/>
      <c r="L51" s="24"/>
      <c r="M51" s="23"/>
      <c r="N51" s="23"/>
      <c r="O51" s="23"/>
      <c r="P51" s="23"/>
      <c r="Q51" s="23"/>
    </row>
    <row r="52" spans="1:17" ht="12.75" customHeight="1">
      <c r="A52" s="10"/>
      <c r="B52" s="11" t="s">
        <v>61</v>
      </c>
      <c r="C52" s="11"/>
      <c r="D52" s="11"/>
      <c r="E52" s="12">
        <f>ROUND(210000,2)</f>
        <v>210000</v>
      </c>
      <c r="F52" s="12">
        <f aca="true" t="shared" si="25" ref="F52:F53">ROUND(0,2)</f>
        <v>0</v>
      </c>
      <c r="G52" s="12">
        <f>ROUND(210000,2)</f>
        <v>210000</v>
      </c>
      <c r="H52" s="12">
        <f>ROUND(106597.43,2)</f>
        <v>106597.43</v>
      </c>
      <c r="I52" s="13">
        <f>ROUND(106597.43,2)</f>
        <v>106597.43</v>
      </c>
      <c r="J52" s="13"/>
      <c r="K52" s="13">
        <f>ROUND(106597.43,2)</f>
        <v>106597.43</v>
      </c>
      <c r="L52" s="13"/>
      <c r="M52" s="12">
        <f>ROUND(106597.43,2)</f>
        <v>106597.43</v>
      </c>
      <c r="N52" s="12">
        <f>ROUND(106597.43,2)</f>
        <v>106597.43</v>
      </c>
      <c r="O52" s="12">
        <f aca="true" t="shared" si="26" ref="O52:O53">ROUND(103402.57,2)</f>
        <v>103402.57</v>
      </c>
      <c r="P52" s="14">
        <v>49.23931904761905</v>
      </c>
      <c r="Q52" s="14">
        <v>50.76068095238095</v>
      </c>
    </row>
    <row r="53" spans="1:17" ht="12.75" customHeight="1">
      <c r="A53" s="15" t="s">
        <v>62</v>
      </c>
      <c r="B53" s="15"/>
      <c r="C53" s="15"/>
      <c r="D53" s="15"/>
      <c r="E53" s="16" t="s">
        <v>41</v>
      </c>
      <c r="F53" s="17">
        <f t="shared" si="25"/>
        <v>0</v>
      </c>
      <c r="G53" s="17">
        <f>ROUND(0,2)</f>
        <v>0</v>
      </c>
      <c r="H53" s="17">
        <f>ROUND(0,2)</f>
        <v>0</v>
      </c>
      <c r="I53" s="17">
        <f>ROUND(0,2)</f>
        <v>0</v>
      </c>
      <c r="J53" s="17"/>
      <c r="K53" s="17">
        <f>ROUND(0,2)</f>
        <v>0</v>
      </c>
      <c r="L53" s="17"/>
      <c r="M53" s="17">
        <f>ROUND(0,2)</f>
        <v>0</v>
      </c>
      <c r="N53" s="17">
        <f>ROUND(0,2)</f>
        <v>0</v>
      </c>
      <c r="O53" s="17">
        <f t="shared" si="26"/>
        <v>103402.57</v>
      </c>
      <c r="P53" s="18">
        <v>50.76068095238095</v>
      </c>
      <c r="Q53" s="18">
        <v>100</v>
      </c>
    </row>
    <row r="54" spans="1:17" ht="12.75" customHeight="1">
      <c r="A54" s="19" t="s">
        <v>63</v>
      </c>
      <c r="B54" s="19"/>
      <c r="C54" s="19"/>
      <c r="D54" s="19"/>
      <c r="E54" s="20">
        <f>SUM('DS1'!$A$13)</f>
        <v>210000</v>
      </c>
      <c r="F54" s="20">
        <v>0</v>
      </c>
      <c r="G54" s="20">
        <v>210000</v>
      </c>
      <c r="H54" s="20">
        <v>106597.43</v>
      </c>
      <c r="I54" s="21">
        <v>106597.43</v>
      </c>
      <c r="J54" s="21"/>
      <c r="K54" s="21">
        <v>106597.43</v>
      </c>
      <c r="L54" s="21"/>
      <c r="M54" s="20">
        <v>106597.43</v>
      </c>
      <c r="N54" s="20">
        <v>106597.43</v>
      </c>
      <c r="O54" s="20">
        <v>103402.57</v>
      </c>
      <c r="P54" s="22">
        <v>49.23931904761905</v>
      </c>
      <c r="Q54" s="22">
        <v>50.76068095238095</v>
      </c>
    </row>
    <row r="55" spans="1:17" ht="12.75" customHeight="1">
      <c r="A55" s="23"/>
      <c r="B55" s="24"/>
      <c r="C55" s="24"/>
      <c r="D55" s="24"/>
      <c r="E55" s="23"/>
      <c r="F55" s="20">
        <v>0</v>
      </c>
      <c r="G55" s="20">
        <v>0</v>
      </c>
      <c r="H55" s="20">
        <v>0</v>
      </c>
      <c r="I55" s="21">
        <v>0</v>
      </c>
      <c r="J55" s="21"/>
      <c r="K55" s="21">
        <v>0</v>
      </c>
      <c r="L55" s="21"/>
      <c r="M55" s="20">
        <v>0</v>
      </c>
      <c r="N55" s="20">
        <v>0</v>
      </c>
      <c r="O55" s="20">
        <v>103402.57</v>
      </c>
      <c r="P55" s="22">
        <v>50.76068095238095</v>
      </c>
      <c r="Q55" s="22">
        <v>100</v>
      </c>
    </row>
    <row r="56" spans="1:17" ht="20.25" customHeight="1">
      <c r="A56" s="23"/>
      <c r="B56" s="24"/>
      <c r="C56" s="24"/>
      <c r="D56" s="24"/>
      <c r="E56" s="23"/>
      <c r="F56" s="23"/>
      <c r="G56" s="23"/>
      <c r="H56" s="23"/>
      <c r="I56" s="24"/>
      <c r="J56" s="24"/>
      <c r="K56" s="24"/>
      <c r="L56" s="24"/>
      <c r="M56" s="23"/>
      <c r="N56" s="23"/>
      <c r="O56" s="23"/>
      <c r="P56" s="23"/>
      <c r="Q56" s="23"/>
    </row>
    <row r="57" spans="1:17" ht="12.75" customHeight="1">
      <c r="A57" s="10"/>
      <c r="B57" s="11" t="s">
        <v>64</v>
      </c>
      <c r="C57" s="11"/>
      <c r="D57" s="11"/>
      <c r="E57" s="12">
        <f>ROUND(826324.51,2)</f>
        <v>826324.51</v>
      </c>
      <c r="F57" s="12">
        <f>ROUND(7436.92,2)</f>
        <v>7436.92</v>
      </c>
      <c r="G57" s="12">
        <f>ROUND(833761.43,2)</f>
        <v>833761.43</v>
      </c>
      <c r="H57" s="12">
        <f>ROUND(653627.69,2)</f>
        <v>653627.69</v>
      </c>
      <c r="I57" s="13">
        <f>ROUND(653627.69,2)</f>
        <v>653627.69</v>
      </c>
      <c r="J57" s="13"/>
      <c r="K57" s="13">
        <f>ROUND(653627.69,2)</f>
        <v>653627.69</v>
      </c>
      <c r="L57" s="13"/>
      <c r="M57" s="12">
        <f>ROUND(653627.69,2)</f>
        <v>653627.69</v>
      </c>
      <c r="N57" s="12">
        <f>ROUND(653627.69,2)</f>
        <v>653627.69</v>
      </c>
      <c r="O57" s="12">
        <f>ROUND(180133.74,2)</f>
        <v>180133.74</v>
      </c>
      <c r="P57" s="14">
        <v>21.604949991510157</v>
      </c>
      <c r="Q57" s="14">
        <v>78.39505000848983</v>
      </c>
    </row>
    <row r="58" spans="1:17" ht="12.75" customHeight="1">
      <c r="A58" s="15" t="s">
        <v>65</v>
      </c>
      <c r="B58" s="15"/>
      <c r="C58" s="15"/>
      <c r="D58" s="15"/>
      <c r="E58" s="16" t="s">
        <v>41</v>
      </c>
      <c r="F58" s="17">
        <f>ROUND(0,2)</f>
        <v>0</v>
      </c>
      <c r="G58" s="17">
        <f>ROUND(0,2)</f>
        <v>0</v>
      </c>
      <c r="H58" s="17">
        <f>ROUND(0,2)</f>
        <v>0</v>
      </c>
      <c r="I58" s="17">
        <f>ROUND(0,2)</f>
        <v>0</v>
      </c>
      <c r="J58" s="17"/>
      <c r="K58" s="17">
        <f>ROUND(0,2)</f>
        <v>0</v>
      </c>
      <c r="L58" s="17"/>
      <c r="M58" s="17">
        <f>ROUND(0,2)</f>
        <v>0</v>
      </c>
      <c r="N58" s="17">
        <f>ROUND(0,2)</f>
        <v>0</v>
      </c>
      <c r="O58" s="17">
        <f>ROUND(180133.74,2)</f>
        <v>180133.74</v>
      </c>
      <c r="P58" s="18">
        <v>78.39505000848983</v>
      </c>
      <c r="Q58" s="18">
        <v>100</v>
      </c>
    </row>
    <row r="59" spans="1:17" ht="12.75" customHeight="1">
      <c r="A59" s="10"/>
      <c r="B59" s="11" t="s">
        <v>66</v>
      </c>
      <c r="C59" s="11"/>
      <c r="D59" s="11"/>
      <c r="E59" s="12">
        <f>ROUND(13424.55,2)</f>
        <v>13424.55</v>
      </c>
      <c r="F59" s="12">
        <f>ROUND(120.82,2)</f>
        <v>120.82</v>
      </c>
      <c r="G59" s="12">
        <f>ROUND(13545.37,2)</f>
        <v>13545.37</v>
      </c>
      <c r="H59" s="12">
        <f>ROUND(21762.58,2)</f>
        <v>21762.58</v>
      </c>
      <c r="I59" s="13">
        <f>ROUND(21762.58,2)</f>
        <v>21762.58</v>
      </c>
      <c r="J59" s="13"/>
      <c r="K59" s="13">
        <f>ROUND(21762.58,2)</f>
        <v>21762.58</v>
      </c>
      <c r="L59" s="13"/>
      <c r="M59" s="12">
        <f>ROUND(21762.58,2)</f>
        <v>21762.58</v>
      </c>
      <c r="N59" s="12">
        <f>ROUND(21762.58,2)</f>
        <v>21762.58</v>
      </c>
      <c r="O59" s="12">
        <f>ROUND(-8217.21,2)</f>
        <v>-8217.21</v>
      </c>
      <c r="P59" s="14">
        <v>-60.66434508618074</v>
      </c>
      <c r="Q59" s="14">
        <v>160.66434508618076</v>
      </c>
    </row>
    <row r="60" spans="1:17" ht="12.75" customHeight="1">
      <c r="A60" s="15" t="s">
        <v>67</v>
      </c>
      <c r="B60" s="15"/>
      <c r="C60" s="15"/>
      <c r="D60" s="15"/>
      <c r="E60" s="16" t="s">
        <v>41</v>
      </c>
      <c r="F60" s="17">
        <f>ROUND(0,2)</f>
        <v>0</v>
      </c>
      <c r="G60" s="17">
        <f>ROUND(0,2)</f>
        <v>0</v>
      </c>
      <c r="H60" s="17">
        <f>ROUND(0,2)</f>
        <v>0</v>
      </c>
      <c r="I60" s="17">
        <f>ROUND(0,2)</f>
        <v>0</v>
      </c>
      <c r="J60" s="17"/>
      <c r="K60" s="17">
        <f>ROUND(0,2)</f>
        <v>0</v>
      </c>
      <c r="L60" s="17"/>
      <c r="M60" s="17">
        <f>ROUND(0,2)</f>
        <v>0</v>
      </c>
      <c r="N60" s="17">
        <f>ROUND(0,2)</f>
        <v>0</v>
      </c>
      <c r="O60" s="17">
        <f>ROUND(-8217.21,2)</f>
        <v>-8217.21</v>
      </c>
      <c r="P60" s="18">
        <v>160.66434508618076</v>
      </c>
      <c r="Q60" s="18">
        <v>100</v>
      </c>
    </row>
    <row r="61" spans="1:17" ht="12.75" customHeight="1">
      <c r="A61" s="19" t="s">
        <v>68</v>
      </c>
      <c r="B61" s="19"/>
      <c r="C61" s="19"/>
      <c r="D61" s="19"/>
      <c r="E61" s="20">
        <f>SUM('DS1'!$A$14:$A$15)</f>
        <v>839749.06</v>
      </c>
      <c r="F61" s="20">
        <v>7557.74</v>
      </c>
      <c r="G61" s="20">
        <v>847306.8</v>
      </c>
      <c r="H61" s="20">
        <v>675390.27</v>
      </c>
      <c r="I61" s="21">
        <v>675390.27</v>
      </c>
      <c r="J61" s="21"/>
      <c r="K61" s="21">
        <v>675390.27</v>
      </c>
      <c r="L61" s="21"/>
      <c r="M61" s="20">
        <v>675390.27</v>
      </c>
      <c r="N61" s="20">
        <v>675390.27</v>
      </c>
      <c r="O61" s="20">
        <v>171916.53</v>
      </c>
      <c r="P61" s="22">
        <v>20.289761630615967</v>
      </c>
      <c r="Q61" s="22">
        <v>79.71023836938403</v>
      </c>
    </row>
    <row r="62" spans="1:17" ht="12.75" customHeight="1">
      <c r="A62" s="23"/>
      <c r="B62" s="24"/>
      <c r="C62" s="24"/>
      <c r="D62" s="24"/>
      <c r="E62" s="23"/>
      <c r="F62" s="20">
        <v>0</v>
      </c>
      <c r="G62" s="20">
        <v>0</v>
      </c>
      <c r="H62" s="20">
        <v>0</v>
      </c>
      <c r="I62" s="21">
        <v>0</v>
      </c>
      <c r="J62" s="21"/>
      <c r="K62" s="21">
        <v>0</v>
      </c>
      <c r="L62" s="21"/>
      <c r="M62" s="20">
        <v>0</v>
      </c>
      <c r="N62" s="20">
        <v>0</v>
      </c>
      <c r="O62" s="20">
        <v>171916.53000000012</v>
      </c>
      <c r="P62" s="22">
        <v>79.71023836938403</v>
      </c>
      <c r="Q62" s="22">
        <v>100</v>
      </c>
    </row>
    <row r="63" spans="1:17" ht="20.25" customHeight="1">
      <c r="A63" s="23"/>
      <c r="B63" s="24"/>
      <c r="C63" s="24"/>
      <c r="D63" s="24"/>
      <c r="E63" s="23"/>
      <c r="F63" s="23"/>
      <c r="G63" s="23"/>
      <c r="H63" s="23"/>
      <c r="I63" s="24"/>
      <c r="J63" s="24"/>
      <c r="K63" s="24"/>
      <c r="L63" s="24"/>
      <c r="M63" s="23"/>
      <c r="N63" s="23"/>
      <c r="O63" s="23"/>
      <c r="P63" s="23"/>
      <c r="Q63" s="23"/>
    </row>
    <row r="64" spans="1:17" ht="12.75" customHeight="1">
      <c r="A64" s="10"/>
      <c r="B64" s="11" t="s">
        <v>69</v>
      </c>
      <c r="C64" s="11"/>
      <c r="D64" s="11"/>
      <c r="E64" s="12">
        <f>ROUND(140000,2)</f>
        <v>140000</v>
      </c>
      <c r="F64" s="12">
        <f aca="true" t="shared" si="27" ref="F64:F65">ROUND(0,2)</f>
        <v>0</v>
      </c>
      <c r="G64" s="12">
        <f>ROUND(140000,2)</f>
        <v>140000</v>
      </c>
      <c r="H64" s="12">
        <f>ROUND(137666.28,2)</f>
        <v>137666.28</v>
      </c>
      <c r="I64" s="13">
        <f>ROUND(137666.28,2)</f>
        <v>137666.28</v>
      </c>
      <c r="J64" s="13"/>
      <c r="K64" s="13">
        <f>ROUND(137666.28,2)</f>
        <v>137666.28</v>
      </c>
      <c r="L64" s="13"/>
      <c r="M64" s="12">
        <f>ROUND(137666.28,2)</f>
        <v>137666.28</v>
      </c>
      <c r="N64" s="12">
        <f>ROUND(126194.09,2)</f>
        <v>126194.09</v>
      </c>
      <c r="O64" s="12">
        <f>ROUND(2333.72,2)</f>
        <v>2333.72</v>
      </c>
      <c r="P64" s="14">
        <v>1.666942857142857</v>
      </c>
      <c r="Q64" s="14">
        <v>98.33305714285714</v>
      </c>
    </row>
    <row r="65" spans="1:17" ht="12.75" customHeight="1">
      <c r="A65" s="15" t="s">
        <v>70</v>
      </c>
      <c r="B65" s="15"/>
      <c r="C65" s="15"/>
      <c r="D65" s="15"/>
      <c r="E65" s="16" t="s">
        <v>71</v>
      </c>
      <c r="F65" s="17">
        <f t="shared" si="27"/>
        <v>0</v>
      </c>
      <c r="G65" s="17">
        <f>ROUND(0,2)</f>
        <v>0</v>
      </c>
      <c r="H65" s="17">
        <f>ROUND(0,2)</f>
        <v>0</v>
      </c>
      <c r="I65" s="17">
        <f>ROUND(0,2)</f>
        <v>0</v>
      </c>
      <c r="J65" s="17"/>
      <c r="K65" s="17">
        <f>ROUND(0,2)</f>
        <v>0</v>
      </c>
      <c r="L65" s="17"/>
      <c r="M65" s="17">
        <f>ROUND(11472.19,2)</f>
        <v>11472.19</v>
      </c>
      <c r="N65" s="17">
        <f>ROUND(0,2)</f>
        <v>0</v>
      </c>
      <c r="O65" s="17">
        <f>ROUND(2333.72,2)</f>
        <v>2333.72</v>
      </c>
      <c r="P65" s="18">
        <v>98.33305714285714</v>
      </c>
      <c r="Q65" s="18">
        <v>91.66666666666666</v>
      </c>
    </row>
    <row r="66" spans="1:17" ht="12.75" customHeight="1">
      <c r="A66" s="19" t="s">
        <v>72</v>
      </c>
      <c r="B66" s="19"/>
      <c r="C66" s="19"/>
      <c r="D66" s="19"/>
      <c r="E66" s="20">
        <f>SUM('DS1'!$A$16)</f>
        <v>140000</v>
      </c>
      <c r="F66" s="20">
        <v>0</v>
      </c>
      <c r="G66" s="20">
        <v>140000</v>
      </c>
      <c r="H66" s="20">
        <v>137666.28</v>
      </c>
      <c r="I66" s="21">
        <v>137666.28</v>
      </c>
      <c r="J66" s="21"/>
      <c r="K66" s="21">
        <v>137666.28</v>
      </c>
      <c r="L66" s="21"/>
      <c r="M66" s="20">
        <v>137666.28</v>
      </c>
      <c r="N66" s="20">
        <v>126194.09</v>
      </c>
      <c r="O66" s="20">
        <v>2333.72</v>
      </c>
      <c r="P66" s="22">
        <v>1.666942857142857</v>
      </c>
      <c r="Q66" s="22">
        <v>98.33305714285714</v>
      </c>
    </row>
    <row r="67" spans="1:17" ht="12.75" customHeight="1">
      <c r="A67" s="23"/>
      <c r="B67" s="24"/>
      <c r="C67" s="24"/>
      <c r="D67" s="24"/>
      <c r="E67" s="23"/>
      <c r="F67" s="20">
        <v>0</v>
      </c>
      <c r="G67" s="20">
        <v>0</v>
      </c>
      <c r="H67" s="20">
        <v>0</v>
      </c>
      <c r="I67" s="21">
        <v>0</v>
      </c>
      <c r="J67" s="21"/>
      <c r="K67" s="21">
        <v>0</v>
      </c>
      <c r="L67" s="21"/>
      <c r="M67" s="20">
        <v>11472.190000000002</v>
      </c>
      <c r="N67" s="20">
        <v>0</v>
      </c>
      <c r="O67" s="20">
        <v>2333.720000000001</v>
      </c>
      <c r="P67" s="22">
        <v>98.33305714285714</v>
      </c>
      <c r="Q67" s="22">
        <v>91.66666666666666</v>
      </c>
    </row>
    <row r="68" spans="1:17" ht="20.25" customHeight="1">
      <c r="A68" s="23"/>
      <c r="B68" s="24"/>
      <c r="C68" s="24"/>
      <c r="D68" s="24"/>
      <c r="E68" s="23"/>
      <c r="F68" s="23"/>
      <c r="G68" s="23"/>
      <c r="H68" s="23"/>
      <c r="I68" s="24"/>
      <c r="J68" s="24"/>
      <c r="K68" s="24"/>
      <c r="L68" s="24"/>
      <c r="M68" s="23"/>
      <c r="N68" s="23"/>
      <c r="O68" s="23"/>
      <c r="P68" s="23"/>
      <c r="Q68" s="23"/>
    </row>
    <row r="69" spans="1:17" ht="12.75" customHeight="1">
      <c r="A69" s="10"/>
      <c r="B69" s="11" t="s">
        <v>73</v>
      </c>
      <c r="C69" s="11"/>
      <c r="D69" s="11"/>
      <c r="E69" s="12">
        <f>ROUND(10000,2)</f>
        <v>10000</v>
      </c>
      <c r="F69" s="12">
        <f aca="true" t="shared" si="28" ref="F69:F70">ROUND(0,2)</f>
        <v>0</v>
      </c>
      <c r="G69" s="12">
        <f>ROUND(10000,2)</f>
        <v>10000</v>
      </c>
      <c r="H69" s="12">
        <f>ROUND(1556.27,2)</f>
        <v>1556.27</v>
      </c>
      <c r="I69" s="13">
        <f>ROUND(1556.27,2)</f>
        <v>1556.27</v>
      </c>
      <c r="J69" s="13"/>
      <c r="K69" s="13">
        <f>ROUND(1556.27,2)</f>
        <v>1556.27</v>
      </c>
      <c r="L69" s="13"/>
      <c r="M69" s="12">
        <f>ROUND(1556.27,2)</f>
        <v>1556.27</v>
      </c>
      <c r="N69" s="12">
        <f>ROUND(1460.2,2)</f>
        <v>1460.2</v>
      </c>
      <c r="O69" s="12">
        <f aca="true" t="shared" si="29" ref="O69:O70">ROUND(8443.73,2)</f>
        <v>8443.73</v>
      </c>
      <c r="P69" s="14">
        <v>84.4373</v>
      </c>
      <c r="Q69" s="14">
        <v>15.5627</v>
      </c>
    </row>
    <row r="70" spans="1:17" ht="12.75" customHeight="1">
      <c r="A70" s="15" t="s">
        <v>74</v>
      </c>
      <c r="B70" s="15"/>
      <c r="C70" s="15"/>
      <c r="D70" s="15"/>
      <c r="E70" s="16" t="s">
        <v>75</v>
      </c>
      <c r="F70" s="17">
        <f t="shared" si="28"/>
        <v>0</v>
      </c>
      <c r="G70" s="17">
        <f>ROUND(0,2)</f>
        <v>0</v>
      </c>
      <c r="H70" s="17">
        <f>ROUND(0,2)</f>
        <v>0</v>
      </c>
      <c r="I70" s="17">
        <f>ROUND(0,2)</f>
        <v>0</v>
      </c>
      <c r="J70" s="17"/>
      <c r="K70" s="17">
        <f>ROUND(0,2)</f>
        <v>0</v>
      </c>
      <c r="L70" s="17"/>
      <c r="M70" s="17">
        <f>ROUND(96.0699999999999,2)</f>
        <v>96.07</v>
      </c>
      <c r="N70" s="17">
        <f>ROUND(0,2)</f>
        <v>0</v>
      </c>
      <c r="O70" s="17">
        <f t="shared" si="29"/>
        <v>8443.73</v>
      </c>
      <c r="P70" s="18">
        <v>15.5627</v>
      </c>
      <c r="Q70" s="18">
        <v>93.82690664216365</v>
      </c>
    </row>
    <row r="71" spans="1:17" ht="12.75" customHeight="1">
      <c r="A71" s="19" t="s">
        <v>76</v>
      </c>
      <c r="B71" s="19"/>
      <c r="C71" s="19"/>
      <c r="D71" s="19"/>
      <c r="E71" s="20">
        <f>SUM('DS1'!$A$17)</f>
        <v>10000</v>
      </c>
      <c r="F71" s="20">
        <v>0</v>
      </c>
      <c r="G71" s="20">
        <v>10000</v>
      </c>
      <c r="H71" s="20">
        <v>1556.27</v>
      </c>
      <c r="I71" s="21">
        <v>1556.27</v>
      </c>
      <c r="J71" s="21"/>
      <c r="K71" s="21">
        <v>1556.27</v>
      </c>
      <c r="L71" s="21"/>
      <c r="M71" s="20">
        <v>1556.27</v>
      </c>
      <c r="N71" s="20">
        <v>1460.2</v>
      </c>
      <c r="O71" s="20">
        <v>8443.73</v>
      </c>
      <c r="P71" s="22">
        <v>84.4373</v>
      </c>
      <c r="Q71" s="22">
        <v>15.5627</v>
      </c>
    </row>
    <row r="72" spans="1:17" ht="12.75" customHeight="1">
      <c r="A72" s="23"/>
      <c r="B72" s="24"/>
      <c r="C72" s="24"/>
      <c r="D72" s="24"/>
      <c r="E72" s="23"/>
      <c r="F72" s="20">
        <v>0</v>
      </c>
      <c r="G72" s="20">
        <v>0</v>
      </c>
      <c r="H72" s="20">
        <v>0</v>
      </c>
      <c r="I72" s="21">
        <v>0</v>
      </c>
      <c r="J72" s="21"/>
      <c r="K72" s="21">
        <v>0</v>
      </c>
      <c r="L72" s="21"/>
      <c r="M72" s="20">
        <v>96.06999999999994</v>
      </c>
      <c r="N72" s="20">
        <v>0</v>
      </c>
      <c r="O72" s="20">
        <v>8443.73</v>
      </c>
      <c r="P72" s="22">
        <v>15.5627</v>
      </c>
      <c r="Q72" s="22">
        <v>93.82690664216365</v>
      </c>
    </row>
    <row r="73" spans="1:17" ht="20.25" customHeight="1">
      <c r="A73" s="23"/>
      <c r="B73" s="24"/>
      <c r="C73" s="24"/>
      <c r="D73" s="24"/>
      <c r="E73" s="23"/>
      <c r="F73" s="23"/>
      <c r="G73" s="23"/>
      <c r="H73" s="23"/>
      <c r="I73" s="24"/>
      <c r="J73" s="24"/>
      <c r="K73" s="24"/>
      <c r="L73" s="24"/>
      <c r="M73" s="23"/>
      <c r="N73" s="23"/>
      <c r="O73" s="23"/>
      <c r="P73" s="23"/>
      <c r="Q73" s="23"/>
    </row>
    <row r="74" spans="1:17" ht="12.75" customHeight="1">
      <c r="A74" s="10"/>
      <c r="B74" s="11" t="s">
        <v>77</v>
      </c>
      <c r="C74" s="11"/>
      <c r="D74" s="11"/>
      <c r="E74" s="12">
        <f>ROUND(2000,2)</f>
        <v>2000</v>
      </c>
      <c r="F74" s="12">
        <f aca="true" t="shared" si="30" ref="F74:F75">ROUND(0,2)</f>
        <v>0</v>
      </c>
      <c r="G74" s="12">
        <f>ROUND(2000,2)</f>
        <v>2000</v>
      </c>
      <c r="H74" s="12">
        <f>ROUND(3881.19,2)</f>
        <v>3881.19</v>
      </c>
      <c r="I74" s="13">
        <f>ROUND(3881.19,2)</f>
        <v>3881.19</v>
      </c>
      <c r="J74" s="13"/>
      <c r="K74" s="13">
        <f>ROUND(3881.19,2)</f>
        <v>3881.19</v>
      </c>
      <c r="L74" s="13"/>
      <c r="M74" s="12">
        <f>ROUND(3881.19,2)</f>
        <v>3881.19</v>
      </c>
      <c r="N74" s="12">
        <f>ROUND(3881.19,2)</f>
        <v>3881.19</v>
      </c>
      <c r="O74" s="12">
        <f aca="true" t="shared" si="31" ref="O74:O75">ROUND(-1881.19,2)</f>
        <v>-1881.19</v>
      </c>
      <c r="P74" s="14">
        <v>-94.05950000000001</v>
      </c>
      <c r="Q74" s="14">
        <v>194.0595</v>
      </c>
    </row>
    <row r="75" spans="1:17" ht="12.75" customHeight="1">
      <c r="A75" s="15" t="s">
        <v>78</v>
      </c>
      <c r="B75" s="15"/>
      <c r="C75" s="15"/>
      <c r="D75" s="15"/>
      <c r="E75" s="16" t="s">
        <v>75</v>
      </c>
      <c r="F75" s="17">
        <f t="shared" si="30"/>
        <v>0</v>
      </c>
      <c r="G75" s="17">
        <f>ROUND(0,2)</f>
        <v>0</v>
      </c>
      <c r="H75" s="17">
        <f>ROUND(0,2)</f>
        <v>0</v>
      </c>
      <c r="I75" s="17">
        <f>ROUND(0,2)</f>
        <v>0</v>
      </c>
      <c r="J75" s="17"/>
      <c r="K75" s="17">
        <f>ROUND(0,2)</f>
        <v>0</v>
      </c>
      <c r="L75" s="17"/>
      <c r="M75" s="17">
        <f>ROUND(0,2)</f>
        <v>0</v>
      </c>
      <c r="N75" s="17">
        <f>ROUND(0,2)</f>
        <v>0</v>
      </c>
      <c r="O75" s="17">
        <f t="shared" si="31"/>
        <v>-1881.19</v>
      </c>
      <c r="P75" s="18">
        <v>194.0595</v>
      </c>
      <c r="Q75" s="18">
        <v>100</v>
      </c>
    </row>
    <row r="76" spans="1:17" ht="12.75" customHeight="1">
      <c r="A76" s="19" t="s">
        <v>79</v>
      </c>
      <c r="B76" s="19"/>
      <c r="C76" s="19"/>
      <c r="D76" s="19"/>
      <c r="E76" s="20">
        <f>SUM('DS1'!$A$18)</f>
        <v>2000</v>
      </c>
      <c r="F76" s="20">
        <v>0</v>
      </c>
      <c r="G76" s="20">
        <v>2000</v>
      </c>
      <c r="H76" s="20">
        <v>3881.19</v>
      </c>
      <c r="I76" s="21">
        <v>3881.19</v>
      </c>
      <c r="J76" s="21"/>
      <c r="K76" s="21">
        <v>3881.19</v>
      </c>
      <c r="L76" s="21"/>
      <c r="M76" s="20">
        <v>3881.19</v>
      </c>
      <c r="N76" s="20">
        <v>3881.19</v>
      </c>
      <c r="O76" s="20">
        <v>-1881.19</v>
      </c>
      <c r="P76" s="22">
        <v>-94.05950000000001</v>
      </c>
      <c r="Q76" s="22">
        <v>194.0595</v>
      </c>
    </row>
    <row r="77" spans="1:17" ht="12.75" customHeight="1">
      <c r="A77" s="23"/>
      <c r="B77" s="24"/>
      <c r="C77" s="24"/>
      <c r="D77" s="24"/>
      <c r="E77" s="23"/>
      <c r="F77" s="20">
        <v>0</v>
      </c>
      <c r="G77" s="20">
        <v>0</v>
      </c>
      <c r="H77" s="20">
        <v>0</v>
      </c>
      <c r="I77" s="21">
        <v>0</v>
      </c>
      <c r="J77" s="21"/>
      <c r="K77" s="21">
        <v>0</v>
      </c>
      <c r="L77" s="21"/>
      <c r="M77" s="20">
        <v>0</v>
      </c>
      <c r="N77" s="20">
        <v>0</v>
      </c>
      <c r="O77" s="20">
        <v>-1881.19</v>
      </c>
      <c r="P77" s="22">
        <v>194.0595</v>
      </c>
      <c r="Q77" s="22">
        <v>100</v>
      </c>
    </row>
    <row r="78" spans="1:17" ht="20.25" customHeight="1">
      <c r="A78" s="23"/>
      <c r="B78" s="24"/>
      <c r="C78" s="24"/>
      <c r="D78" s="24"/>
      <c r="E78" s="23"/>
      <c r="F78" s="23"/>
      <c r="G78" s="23"/>
      <c r="H78" s="23"/>
      <c r="I78" s="24"/>
      <c r="J78" s="24"/>
      <c r="K78" s="24"/>
      <c r="L78" s="24"/>
      <c r="M78" s="23"/>
      <c r="N78" s="23"/>
      <c r="O78" s="23"/>
      <c r="P78" s="23"/>
      <c r="Q78" s="23"/>
    </row>
    <row r="79" spans="1:17" ht="12.75" customHeight="1">
      <c r="A79" s="10"/>
      <c r="B79" s="11" t="s">
        <v>80</v>
      </c>
      <c r="C79" s="11"/>
      <c r="D79" s="11"/>
      <c r="E79" s="12">
        <f>ROUND(15000,2)</f>
        <v>15000</v>
      </c>
      <c r="F79" s="12">
        <f aca="true" t="shared" si="32" ref="F79:F80">ROUND(0,2)</f>
        <v>0</v>
      </c>
      <c r="G79" s="12">
        <f>ROUND(15000,2)</f>
        <v>15000</v>
      </c>
      <c r="H79" s="12">
        <f>ROUND(7419.47,2)</f>
        <v>7419.47</v>
      </c>
      <c r="I79" s="13">
        <f>ROUND(7419.47,2)</f>
        <v>7419.47</v>
      </c>
      <c r="J79" s="13"/>
      <c r="K79" s="13">
        <f>ROUND(7419.47,2)</f>
        <v>7419.47</v>
      </c>
      <c r="L79" s="13"/>
      <c r="M79" s="12">
        <f>ROUND(7419.47,2)</f>
        <v>7419.47</v>
      </c>
      <c r="N79" s="12">
        <f>ROUND(7318.48,2)</f>
        <v>7318.48</v>
      </c>
      <c r="O79" s="12">
        <f aca="true" t="shared" si="33" ref="O79:O80">ROUND(7580.53,2)</f>
        <v>7580.53</v>
      </c>
      <c r="P79" s="14">
        <v>50.53686666666667</v>
      </c>
      <c r="Q79" s="14">
        <v>49.46313333333334</v>
      </c>
    </row>
    <row r="80" spans="1:17" ht="12.75" customHeight="1">
      <c r="A80" s="15" t="s">
        <v>81</v>
      </c>
      <c r="B80" s="15"/>
      <c r="C80" s="15"/>
      <c r="D80" s="15"/>
      <c r="E80" s="16" t="s">
        <v>75</v>
      </c>
      <c r="F80" s="17">
        <f t="shared" si="32"/>
        <v>0</v>
      </c>
      <c r="G80" s="17">
        <f>ROUND(0,2)</f>
        <v>0</v>
      </c>
      <c r="H80" s="17">
        <f>ROUND(0,2)</f>
        <v>0</v>
      </c>
      <c r="I80" s="17">
        <f>ROUND(0,2)</f>
        <v>0</v>
      </c>
      <c r="J80" s="17"/>
      <c r="K80" s="17">
        <f>ROUND(0,2)</f>
        <v>0</v>
      </c>
      <c r="L80" s="17"/>
      <c r="M80" s="17">
        <f>ROUND(100.990000000001,2)</f>
        <v>100.99</v>
      </c>
      <c r="N80" s="17">
        <f>ROUND(0,2)</f>
        <v>0</v>
      </c>
      <c r="O80" s="17">
        <f t="shared" si="33"/>
        <v>7580.53</v>
      </c>
      <c r="P80" s="18">
        <v>49.46313333333334</v>
      </c>
      <c r="Q80" s="18">
        <v>98.63885156217357</v>
      </c>
    </row>
    <row r="81" spans="1:17" ht="12.75" customHeight="1">
      <c r="A81" s="19" t="s">
        <v>82</v>
      </c>
      <c r="B81" s="19"/>
      <c r="C81" s="19"/>
      <c r="D81" s="19"/>
      <c r="E81" s="20">
        <f>SUM('DS1'!$A$19)</f>
        <v>15000</v>
      </c>
      <c r="F81" s="20">
        <v>0</v>
      </c>
      <c r="G81" s="20">
        <v>15000</v>
      </c>
      <c r="H81" s="20">
        <v>7419.47</v>
      </c>
      <c r="I81" s="21">
        <v>7419.47</v>
      </c>
      <c r="J81" s="21"/>
      <c r="K81" s="21">
        <v>7419.47</v>
      </c>
      <c r="L81" s="21"/>
      <c r="M81" s="20">
        <v>7419.47</v>
      </c>
      <c r="N81" s="20">
        <v>7318.48</v>
      </c>
      <c r="O81" s="20">
        <v>7580.53</v>
      </c>
      <c r="P81" s="22">
        <v>50.53686666666667</v>
      </c>
      <c r="Q81" s="22">
        <v>49.46313333333334</v>
      </c>
    </row>
    <row r="82" spans="1:17" ht="12.75" customHeight="1">
      <c r="A82" s="23"/>
      <c r="B82" s="24"/>
      <c r="C82" s="24"/>
      <c r="D82" s="24"/>
      <c r="E82" s="23"/>
      <c r="F82" s="20">
        <v>0</v>
      </c>
      <c r="G82" s="20">
        <v>0</v>
      </c>
      <c r="H82" s="20">
        <v>0</v>
      </c>
      <c r="I82" s="21">
        <v>0</v>
      </c>
      <c r="J82" s="21"/>
      <c r="K82" s="21">
        <v>0</v>
      </c>
      <c r="L82" s="21"/>
      <c r="M82" s="20">
        <v>100.99000000000069</v>
      </c>
      <c r="N82" s="20">
        <v>0</v>
      </c>
      <c r="O82" s="20">
        <v>7580.53</v>
      </c>
      <c r="P82" s="22">
        <v>49.46313333333334</v>
      </c>
      <c r="Q82" s="22">
        <v>98.63885156217357</v>
      </c>
    </row>
    <row r="83" spans="1:17" ht="20.25" customHeight="1">
      <c r="A83" s="23"/>
      <c r="B83" s="24"/>
      <c r="C83" s="24"/>
      <c r="D83" s="24"/>
      <c r="E83" s="23"/>
      <c r="F83" s="23"/>
      <c r="G83" s="23"/>
      <c r="H83" s="23"/>
      <c r="I83" s="24"/>
      <c r="J83" s="24"/>
      <c r="K83" s="24"/>
      <c r="L83" s="24"/>
      <c r="M83" s="23"/>
      <c r="N83" s="23"/>
      <c r="O83" s="23"/>
      <c r="P83" s="23"/>
      <c r="Q83" s="23"/>
    </row>
    <row r="84" spans="1:17" ht="12.75" customHeight="1">
      <c r="A84" s="10" t="s">
        <v>83</v>
      </c>
      <c r="B84" s="11" t="s">
        <v>84</v>
      </c>
      <c r="C84" s="11"/>
      <c r="D84" s="11"/>
      <c r="E84" s="12">
        <f>ROUND(0,2)</f>
        <v>0</v>
      </c>
      <c r="F84" s="12">
        <f aca="true" t="shared" si="34" ref="F84:F85">ROUND(38216.45,2)</f>
        <v>38216.45</v>
      </c>
      <c r="G84" s="12">
        <f>ROUND(38216.45,2)</f>
        <v>38216.45</v>
      </c>
      <c r="H84" s="12">
        <f>ROUND(34713.52,2)</f>
        <v>34713.52</v>
      </c>
      <c r="I84" s="13">
        <f>ROUND(34713.52,2)</f>
        <v>34713.52</v>
      </c>
      <c r="J84" s="13"/>
      <c r="K84" s="13">
        <f>ROUND(34713.52,2)</f>
        <v>34713.52</v>
      </c>
      <c r="L84" s="13"/>
      <c r="M84" s="12">
        <f>ROUND(34713.52,2)</f>
        <v>34713.52</v>
      </c>
      <c r="N84" s="12">
        <f>ROUND(28131.57,2)</f>
        <v>28131.57</v>
      </c>
      <c r="O84" s="12">
        <f>ROUND(3502.93,2)</f>
        <v>3502.93</v>
      </c>
      <c r="P84" s="14">
        <v>9.16602667176046</v>
      </c>
      <c r="Q84" s="14">
        <v>90.83397332823954</v>
      </c>
    </row>
    <row r="85" spans="1:17" ht="12.75" customHeight="1">
      <c r="A85" s="15" t="s">
        <v>85</v>
      </c>
      <c r="B85" s="15"/>
      <c r="C85" s="15"/>
      <c r="D85" s="15"/>
      <c r="E85" s="16" t="s">
        <v>86</v>
      </c>
      <c r="F85" s="17">
        <f t="shared" si="34"/>
        <v>38216.45</v>
      </c>
      <c r="G85" s="17">
        <f>ROUND(0,2)</f>
        <v>0</v>
      </c>
      <c r="H85" s="17">
        <f aca="true" t="shared" si="35" ref="H85:H87">ROUND(0,2)</f>
        <v>0</v>
      </c>
      <c r="I85" s="17">
        <f aca="true" t="shared" si="36" ref="I85:I87">ROUND(0,2)</f>
        <v>0</v>
      </c>
      <c r="J85" s="17"/>
      <c r="K85" s="17">
        <f aca="true" t="shared" si="37" ref="K85:K87">ROUND(0,2)</f>
        <v>0</v>
      </c>
      <c r="L85" s="17"/>
      <c r="M85" s="17">
        <f>ROUND(6581.95,2)</f>
        <v>6581.95</v>
      </c>
      <c r="N85" s="17">
        <f aca="true" t="shared" si="38" ref="N85:N87">ROUND(0,2)</f>
        <v>0</v>
      </c>
      <c r="O85" s="17">
        <f>ROUND(3502.93,2)</f>
        <v>3502.93</v>
      </c>
      <c r="P85" s="18">
        <v>90.83397332823954</v>
      </c>
      <c r="Q85" s="18">
        <v>81.03923197647488</v>
      </c>
    </row>
    <row r="86" spans="1:17" ht="12.75" customHeight="1">
      <c r="A86" s="10"/>
      <c r="B86" s="11" t="s">
        <v>87</v>
      </c>
      <c r="C86" s="11"/>
      <c r="D86" s="11"/>
      <c r="E86" s="12">
        <f>ROUND(45000,2)</f>
        <v>45000</v>
      </c>
      <c r="F86" s="12">
        <f>ROUND(-43000,2)</f>
        <v>-43000</v>
      </c>
      <c r="G86" s="12">
        <f>ROUND(2000,2)</f>
        <v>2000</v>
      </c>
      <c r="H86" s="12">
        <f t="shared" si="35"/>
        <v>0</v>
      </c>
      <c r="I86" s="13">
        <f t="shared" si="36"/>
        <v>0</v>
      </c>
      <c r="J86" s="13"/>
      <c r="K86" s="13">
        <f t="shared" si="37"/>
        <v>0</v>
      </c>
      <c r="L86" s="13"/>
      <c r="M86" s="12">
        <f aca="true" t="shared" si="39" ref="M86:M87">ROUND(0,2)</f>
        <v>0</v>
      </c>
      <c r="N86" s="12">
        <f t="shared" si="38"/>
        <v>0</v>
      </c>
      <c r="O86" s="12">
        <f aca="true" t="shared" si="40" ref="O86:O87">ROUND(2000,2)</f>
        <v>2000</v>
      </c>
      <c r="P86" s="14">
        <v>100</v>
      </c>
      <c r="Q86" s="14">
        <v>0</v>
      </c>
    </row>
    <row r="87" spans="1:17" ht="12.75" customHeight="1">
      <c r="A87" s="15" t="s">
        <v>85</v>
      </c>
      <c r="B87" s="15"/>
      <c r="C87" s="15"/>
      <c r="D87" s="15"/>
      <c r="E87" s="16" t="s">
        <v>36</v>
      </c>
      <c r="F87" s="17">
        <f aca="true" t="shared" si="41" ref="F87:F91">ROUND(0,2)</f>
        <v>0</v>
      </c>
      <c r="G87" s="17">
        <f>ROUND(0,2)</f>
        <v>0</v>
      </c>
      <c r="H87" s="17">
        <f t="shared" si="35"/>
        <v>0</v>
      </c>
      <c r="I87" s="17">
        <f t="shared" si="36"/>
        <v>0</v>
      </c>
      <c r="J87" s="17"/>
      <c r="K87" s="17">
        <f t="shared" si="37"/>
        <v>0</v>
      </c>
      <c r="L87" s="17"/>
      <c r="M87" s="17">
        <f t="shared" si="39"/>
        <v>0</v>
      </c>
      <c r="N87" s="17">
        <f t="shared" si="38"/>
        <v>0</v>
      </c>
      <c r="O87" s="17">
        <f t="shared" si="40"/>
        <v>2000</v>
      </c>
      <c r="P87" s="18">
        <v>0</v>
      </c>
      <c r="Q87" s="18">
        <v>0</v>
      </c>
    </row>
    <row r="88" spans="1:17" ht="12.75" customHeight="1">
      <c r="A88" s="10"/>
      <c r="B88" s="11" t="s">
        <v>88</v>
      </c>
      <c r="C88" s="11"/>
      <c r="D88" s="11"/>
      <c r="E88" s="12">
        <f>ROUND(3000,2)</f>
        <v>3000</v>
      </c>
      <c r="F88" s="12">
        <f t="shared" si="41"/>
        <v>0</v>
      </c>
      <c r="G88" s="12">
        <f>ROUND(3000,2)</f>
        <v>3000</v>
      </c>
      <c r="H88" s="12">
        <f>ROUND(1139.25,2)</f>
        <v>1139.25</v>
      </c>
      <c r="I88" s="13">
        <f>ROUND(1139.25,2)</f>
        <v>1139.25</v>
      </c>
      <c r="J88" s="13"/>
      <c r="K88" s="13">
        <f>ROUND(1139.25,2)</f>
        <v>1139.25</v>
      </c>
      <c r="L88" s="13"/>
      <c r="M88" s="12">
        <f>ROUND(1139.25,2)</f>
        <v>1139.25</v>
      </c>
      <c r="N88" s="12">
        <f>ROUND(688.46,2)</f>
        <v>688.46</v>
      </c>
      <c r="O88" s="12">
        <f aca="true" t="shared" si="42" ref="O88:O89">ROUND(1860.75,2)</f>
        <v>1860.75</v>
      </c>
      <c r="P88" s="14">
        <v>62.025</v>
      </c>
      <c r="Q88" s="14">
        <v>37.974999999999994</v>
      </c>
    </row>
    <row r="89" spans="1:17" ht="12.75" customHeight="1">
      <c r="A89" s="15" t="s">
        <v>89</v>
      </c>
      <c r="B89" s="15"/>
      <c r="C89" s="15"/>
      <c r="D89" s="15"/>
      <c r="E89" s="16" t="s">
        <v>36</v>
      </c>
      <c r="F89" s="17">
        <f t="shared" si="41"/>
        <v>0</v>
      </c>
      <c r="G89" s="17">
        <f>ROUND(0,2)</f>
        <v>0</v>
      </c>
      <c r="H89" s="17">
        <f>ROUND(0,2)</f>
        <v>0</v>
      </c>
      <c r="I89" s="17">
        <f>ROUND(0,2)</f>
        <v>0</v>
      </c>
      <c r="J89" s="17"/>
      <c r="K89" s="17">
        <f>ROUND(0,2)</f>
        <v>0</v>
      </c>
      <c r="L89" s="17"/>
      <c r="M89" s="17">
        <f>ROUND(450.79,2)</f>
        <v>450.79</v>
      </c>
      <c r="N89" s="17">
        <f>ROUND(0,2)</f>
        <v>0</v>
      </c>
      <c r="O89" s="17">
        <f t="shared" si="42"/>
        <v>1860.75</v>
      </c>
      <c r="P89" s="18">
        <v>37.974999999999994</v>
      </c>
      <c r="Q89" s="18">
        <v>60.430985297344755</v>
      </c>
    </row>
    <row r="90" spans="1:17" ht="12.75" customHeight="1">
      <c r="A90" s="10"/>
      <c r="B90" s="11" t="s">
        <v>90</v>
      </c>
      <c r="C90" s="11"/>
      <c r="D90" s="11"/>
      <c r="E90" s="12">
        <f>ROUND(15000,2)</f>
        <v>15000</v>
      </c>
      <c r="F90" s="12">
        <f t="shared" si="41"/>
        <v>0</v>
      </c>
      <c r="G90" s="12">
        <f>ROUND(15000,2)</f>
        <v>15000</v>
      </c>
      <c r="H90" s="12">
        <f>ROUND(10513.64,2)</f>
        <v>10513.64</v>
      </c>
      <c r="I90" s="13">
        <f>ROUND(10513.64,2)</f>
        <v>10513.64</v>
      </c>
      <c r="J90" s="13"/>
      <c r="K90" s="13">
        <f>ROUND(8551.9,2)</f>
        <v>8551.9</v>
      </c>
      <c r="L90" s="13"/>
      <c r="M90" s="12">
        <f>ROUND(8551.9,2)</f>
        <v>8551.9</v>
      </c>
      <c r="N90" s="12">
        <f>ROUND(8501.3,2)</f>
        <v>8501.3</v>
      </c>
      <c r="O90" s="12">
        <f>ROUND(4486.36,2)</f>
        <v>4486.36</v>
      </c>
      <c r="P90" s="14">
        <v>29.909066666666668</v>
      </c>
      <c r="Q90" s="14">
        <v>57.01266666666667</v>
      </c>
    </row>
    <row r="91" spans="1:17" ht="12.75" customHeight="1">
      <c r="A91" s="15" t="s">
        <v>91</v>
      </c>
      <c r="B91" s="15"/>
      <c r="C91" s="15"/>
      <c r="D91" s="15"/>
      <c r="E91" s="16" t="s">
        <v>36</v>
      </c>
      <c r="F91" s="17">
        <f t="shared" si="41"/>
        <v>0</v>
      </c>
      <c r="G91" s="17">
        <f>ROUND(0,2)</f>
        <v>0</v>
      </c>
      <c r="H91" s="17">
        <f>ROUND(0,2)</f>
        <v>0</v>
      </c>
      <c r="I91" s="17">
        <f>ROUND(1961.74,2)</f>
        <v>1961.74</v>
      </c>
      <c r="J91" s="17"/>
      <c r="K91" s="17">
        <f>ROUND(0,2)</f>
        <v>0</v>
      </c>
      <c r="L91" s="17"/>
      <c r="M91" s="17">
        <f>ROUND(50.6000000000004,2)</f>
        <v>50.6</v>
      </c>
      <c r="N91" s="17">
        <f>ROUND(0,2)</f>
        <v>0</v>
      </c>
      <c r="O91" s="17">
        <f>ROUND(6448.1,2)</f>
        <v>6448.1</v>
      </c>
      <c r="P91" s="18">
        <v>70.09093333333333</v>
      </c>
      <c r="Q91" s="18">
        <v>99.4083186192542</v>
      </c>
    </row>
    <row r="92" spans="1:17" ht="12.75" customHeight="1">
      <c r="A92" s="19" t="s">
        <v>92</v>
      </c>
      <c r="B92" s="19"/>
      <c r="C92" s="19"/>
      <c r="D92" s="19"/>
      <c r="E92" s="20">
        <f>SUM('DS1'!$A$20:$A$23)</f>
        <v>63000</v>
      </c>
      <c r="F92" s="20">
        <v>-4783.550000000003</v>
      </c>
      <c r="G92" s="20">
        <v>58216.45</v>
      </c>
      <c r="H92" s="20">
        <v>46366.41</v>
      </c>
      <c r="I92" s="21">
        <v>46366.41</v>
      </c>
      <c r="J92" s="21"/>
      <c r="K92" s="21">
        <v>44404.67</v>
      </c>
      <c r="L92" s="21"/>
      <c r="M92" s="20">
        <v>44404.67</v>
      </c>
      <c r="N92" s="20">
        <v>37321.33</v>
      </c>
      <c r="O92" s="20">
        <v>11850.04</v>
      </c>
      <c r="P92" s="22">
        <v>20.355140170862363</v>
      </c>
      <c r="Q92" s="22">
        <v>76.27512498615083</v>
      </c>
    </row>
    <row r="93" spans="1:17" ht="12.75" customHeight="1">
      <c r="A93" s="23"/>
      <c r="B93" s="24"/>
      <c r="C93" s="24"/>
      <c r="D93" s="24"/>
      <c r="E93" s="23"/>
      <c r="F93" s="20">
        <v>38216.45</v>
      </c>
      <c r="G93" s="20">
        <v>0</v>
      </c>
      <c r="H93" s="20">
        <v>0</v>
      </c>
      <c r="I93" s="21">
        <v>1961.7399999999998</v>
      </c>
      <c r="J93" s="21"/>
      <c r="K93" s="21">
        <v>0</v>
      </c>
      <c r="L93" s="21"/>
      <c r="M93" s="20">
        <v>7083.339999999997</v>
      </c>
      <c r="N93" s="20">
        <v>0</v>
      </c>
      <c r="O93" s="20">
        <v>13811.78</v>
      </c>
      <c r="P93" s="22">
        <v>79.64485982913764</v>
      </c>
      <c r="Q93" s="22">
        <v>84.04820934374696</v>
      </c>
    </row>
    <row r="94" spans="1:17" ht="20.25" customHeight="1">
      <c r="A94" s="23"/>
      <c r="B94" s="24"/>
      <c r="C94" s="24"/>
      <c r="D94" s="24"/>
      <c r="E94" s="23"/>
      <c r="F94" s="23"/>
      <c r="G94" s="23"/>
      <c r="H94" s="23"/>
      <c r="I94" s="24"/>
      <c r="J94" s="24"/>
      <c r="K94" s="24"/>
      <c r="L94" s="24"/>
      <c r="M94" s="23"/>
      <c r="N94" s="23"/>
      <c r="O94" s="23"/>
      <c r="P94" s="23"/>
      <c r="Q94" s="23"/>
    </row>
    <row r="95" spans="1:17" ht="12.75" customHeight="1">
      <c r="A95" s="10"/>
      <c r="B95" s="11" t="s">
        <v>93</v>
      </c>
      <c r="C95" s="11"/>
      <c r="D95" s="11"/>
      <c r="E95" s="12">
        <f>ROUND(6000,2)</f>
        <v>6000</v>
      </c>
      <c r="F95" s="12">
        <f aca="true" t="shared" si="43" ref="F95:F96">ROUND(0,2)</f>
        <v>0</v>
      </c>
      <c r="G95" s="12">
        <f>ROUND(6000,2)</f>
        <v>6000</v>
      </c>
      <c r="H95" s="12">
        <f>ROUND(8794.2,2)</f>
        <v>8794.2</v>
      </c>
      <c r="I95" s="13">
        <f>ROUND(8794.2,2)</f>
        <v>8794.2</v>
      </c>
      <c r="J95" s="13"/>
      <c r="K95" s="13">
        <f>ROUND(8794.2,2)</f>
        <v>8794.2</v>
      </c>
      <c r="L95" s="13"/>
      <c r="M95" s="12">
        <f>ROUND(8794.2,2)</f>
        <v>8794.2</v>
      </c>
      <c r="N95" s="12">
        <f>ROUND(8302.35,2)</f>
        <v>8302.35</v>
      </c>
      <c r="O95" s="12">
        <f>ROUND(-2794.2,2)</f>
        <v>-2794.2</v>
      </c>
      <c r="P95" s="14">
        <v>-46.56999999999999</v>
      </c>
      <c r="Q95" s="14">
        <v>146.57000000000002</v>
      </c>
    </row>
    <row r="96" spans="1:17" ht="12.75" customHeight="1">
      <c r="A96" s="15" t="s">
        <v>94</v>
      </c>
      <c r="B96" s="15"/>
      <c r="C96" s="15"/>
      <c r="D96" s="15"/>
      <c r="E96" s="16" t="s">
        <v>36</v>
      </c>
      <c r="F96" s="17">
        <f t="shared" si="43"/>
        <v>0</v>
      </c>
      <c r="G96" s="17">
        <f>ROUND(0,2)</f>
        <v>0</v>
      </c>
      <c r="H96" s="17">
        <f>ROUND(0,2)</f>
        <v>0</v>
      </c>
      <c r="I96" s="17">
        <f>ROUND(0,2)</f>
        <v>0</v>
      </c>
      <c r="J96" s="17"/>
      <c r="K96" s="17">
        <f>ROUND(0,2)</f>
        <v>0</v>
      </c>
      <c r="L96" s="17"/>
      <c r="M96" s="17">
        <f>ROUND(491.85,2)</f>
        <v>491.85</v>
      </c>
      <c r="N96" s="17">
        <f>ROUND(0,2)</f>
        <v>0</v>
      </c>
      <c r="O96" s="17">
        <f>ROUND(-2794.2,2)</f>
        <v>-2794.2</v>
      </c>
      <c r="P96" s="18">
        <v>146.57000000000002</v>
      </c>
      <c r="Q96" s="18">
        <v>94.40710923108412</v>
      </c>
    </row>
    <row r="97" spans="1:17" ht="12.75" customHeight="1">
      <c r="A97" s="19" t="s">
        <v>95</v>
      </c>
      <c r="B97" s="19"/>
      <c r="C97" s="19"/>
      <c r="D97" s="19"/>
      <c r="E97" s="20">
        <f>SUM('DS1'!$A$24)</f>
        <v>6000</v>
      </c>
      <c r="F97" s="20">
        <v>0</v>
      </c>
      <c r="G97" s="20">
        <v>6000</v>
      </c>
      <c r="H97" s="20">
        <v>8794.2</v>
      </c>
      <c r="I97" s="21">
        <v>8794.2</v>
      </c>
      <c r="J97" s="21"/>
      <c r="K97" s="21">
        <v>8794.2</v>
      </c>
      <c r="L97" s="21"/>
      <c r="M97" s="20">
        <v>8794.2</v>
      </c>
      <c r="N97" s="20">
        <v>8302.35</v>
      </c>
      <c r="O97" s="20">
        <v>-2794.2</v>
      </c>
      <c r="P97" s="22">
        <v>-46.56999999999999</v>
      </c>
      <c r="Q97" s="22">
        <v>146.57000000000002</v>
      </c>
    </row>
    <row r="98" spans="1:17" ht="12.75" customHeight="1">
      <c r="A98" s="23"/>
      <c r="B98" s="24"/>
      <c r="C98" s="24"/>
      <c r="D98" s="24"/>
      <c r="E98" s="23"/>
      <c r="F98" s="20">
        <v>0</v>
      </c>
      <c r="G98" s="20">
        <v>0</v>
      </c>
      <c r="H98" s="20">
        <v>0</v>
      </c>
      <c r="I98" s="21">
        <v>0</v>
      </c>
      <c r="J98" s="21"/>
      <c r="K98" s="21">
        <v>0</v>
      </c>
      <c r="L98" s="21"/>
      <c r="M98" s="20">
        <v>491.85000000000036</v>
      </c>
      <c r="N98" s="20">
        <v>0</v>
      </c>
      <c r="O98" s="20">
        <v>-2794.2000000000007</v>
      </c>
      <c r="P98" s="22">
        <v>146.57000000000002</v>
      </c>
      <c r="Q98" s="22">
        <v>94.40710923108412</v>
      </c>
    </row>
    <row r="99" spans="1:17" ht="20.25" customHeight="1">
      <c r="A99" s="23"/>
      <c r="B99" s="24"/>
      <c r="C99" s="24"/>
      <c r="D99" s="24"/>
      <c r="E99" s="23"/>
      <c r="F99" s="23"/>
      <c r="G99" s="23"/>
      <c r="H99" s="23"/>
      <c r="I99" s="24"/>
      <c r="J99" s="24"/>
      <c r="K99" s="24"/>
      <c r="L99" s="24"/>
      <c r="M99" s="23"/>
      <c r="N99" s="23"/>
      <c r="O99" s="23"/>
      <c r="P99" s="23"/>
      <c r="Q99" s="23"/>
    </row>
    <row r="100" spans="1:17" ht="12.75" customHeight="1">
      <c r="A100" s="10"/>
      <c r="B100" s="11" t="s">
        <v>96</v>
      </c>
      <c r="C100" s="11"/>
      <c r="D100" s="11"/>
      <c r="E100" s="12">
        <f>ROUND(90000,2)</f>
        <v>90000</v>
      </c>
      <c r="F100" s="12">
        <f aca="true" t="shared" si="44" ref="F100:F101">ROUND(0,2)</f>
        <v>0</v>
      </c>
      <c r="G100" s="12">
        <f>ROUND(90000,2)</f>
        <v>90000</v>
      </c>
      <c r="H100" s="12">
        <f>ROUND(80822.9,2)</f>
        <v>80822.9</v>
      </c>
      <c r="I100" s="13">
        <f>ROUND(80822.9,2)</f>
        <v>80822.9</v>
      </c>
      <c r="J100" s="13"/>
      <c r="K100" s="13">
        <f>ROUND(80822.9,2)</f>
        <v>80822.9</v>
      </c>
      <c r="L100" s="13"/>
      <c r="M100" s="12">
        <f>ROUND(80822.9,2)</f>
        <v>80822.9</v>
      </c>
      <c r="N100" s="12">
        <f>ROUND(80500.29,2)</f>
        <v>80500.29</v>
      </c>
      <c r="O100" s="12">
        <f>ROUND(9177.1,2)</f>
        <v>9177.1</v>
      </c>
      <c r="P100" s="14">
        <v>10.196777777777779</v>
      </c>
      <c r="Q100" s="14">
        <v>89.80322222222222</v>
      </c>
    </row>
    <row r="101" spans="1:17" ht="12.75" customHeight="1">
      <c r="A101" s="15" t="s">
        <v>97</v>
      </c>
      <c r="B101" s="15"/>
      <c r="C101" s="15"/>
      <c r="D101" s="15"/>
      <c r="E101" s="16" t="s">
        <v>36</v>
      </c>
      <c r="F101" s="17">
        <f t="shared" si="44"/>
        <v>0</v>
      </c>
      <c r="G101" s="17">
        <f>ROUND(0,2)</f>
        <v>0</v>
      </c>
      <c r="H101" s="17">
        <f>ROUND(0,2)</f>
        <v>0</v>
      </c>
      <c r="I101" s="17">
        <f>ROUND(0,2)</f>
        <v>0</v>
      </c>
      <c r="J101" s="17"/>
      <c r="K101" s="17">
        <f>ROUND(0,2)</f>
        <v>0</v>
      </c>
      <c r="L101" s="17"/>
      <c r="M101" s="17">
        <f>ROUND(322.610000000001,2)</f>
        <v>322.61</v>
      </c>
      <c r="N101" s="17">
        <f>ROUND(0,2)</f>
        <v>0</v>
      </c>
      <c r="O101" s="17">
        <f>ROUND(9177.10000000001,2)</f>
        <v>9177.1</v>
      </c>
      <c r="P101" s="18">
        <v>89.80322222222222</v>
      </c>
      <c r="Q101" s="18">
        <v>99.60084332534467</v>
      </c>
    </row>
    <row r="102" spans="1:17" ht="12.75" customHeight="1">
      <c r="A102" s="19" t="s">
        <v>37</v>
      </c>
      <c r="B102" s="19"/>
      <c r="C102" s="19"/>
      <c r="D102" s="19"/>
      <c r="E102" s="20">
        <f>SUM('DS1'!$A$25)</f>
        <v>90000</v>
      </c>
      <c r="F102" s="20">
        <v>0</v>
      </c>
      <c r="G102" s="20">
        <v>90000</v>
      </c>
      <c r="H102" s="20">
        <v>80822.9</v>
      </c>
      <c r="I102" s="21">
        <v>80822.9</v>
      </c>
      <c r="J102" s="21"/>
      <c r="K102" s="21">
        <v>80822.9</v>
      </c>
      <c r="L102" s="21"/>
      <c r="M102" s="20">
        <v>80822.9</v>
      </c>
      <c r="N102" s="20">
        <v>80500.29</v>
      </c>
      <c r="O102" s="20">
        <v>9177.1</v>
      </c>
      <c r="P102" s="22">
        <v>10.196777777777779</v>
      </c>
      <c r="Q102" s="22">
        <v>89.80322222222222</v>
      </c>
    </row>
    <row r="103" spans="1:17" ht="12.75" customHeight="1">
      <c r="A103" s="23"/>
      <c r="B103" s="24"/>
      <c r="C103" s="24"/>
      <c r="D103" s="24"/>
      <c r="E103" s="23"/>
      <c r="F103" s="20">
        <v>0</v>
      </c>
      <c r="G103" s="20">
        <v>0</v>
      </c>
      <c r="H103" s="20">
        <v>0</v>
      </c>
      <c r="I103" s="21">
        <v>0</v>
      </c>
      <c r="J103" s="21"/>
      <c r="K103" s="21">
        <v>0</v>
      </c>
      <c r="L103" s="21"/>
      <c r="M103" s="20">
        <v>322.6100000000006</v>
      </c>
      <c r="N103" s="20">
        <v>0</v>
      </c>
      <c r="O103" s="20">
        <v>9177.100000000006</v>
      </c>
      <c r="P103" s="22">
        <v>89.80322222222222</v>
      </c>
      <c r="Q103" s="22">
        <v>99.60084332534467</v>
      </c>
    </row>
    <row r="104" spans="1:17" ht="20.25" customHeight="1">
      <c r="A104" s="23"/>
      <c r="B104" s="24"/>
      <c r="C104" s="24"/>
      <c r="D104" s="24"/>
      <c r="E104" s="23"/>
      <c r="F104" s="23"/>
      <c r="G104" s="23"/>
      <c r="H104" s="23"/>
      <c r="I104" s="24"/>
      <c r="J104" s="24"/>
      <c r="K104" s="24"/>
      <c r="L104" s="24"/>
      <c r="M104" s="23"/>
      <c r="N104" s="23"/>
      <c r="O104" s="23"/>
      <c r="P104" s="23"/>
      <c r="Q104" s="23"/>
    </row>
    <row r="105" spans="1:17" ht="12.75" customHeight="1">
      <c r="A105" s="10" t="s">
        <v>83</v>
      </c>
      <c r="B105" s="11" t="s">
        <v>98</v>
      </c>
      <c r="C105" s="11"/>
      <c r="D105" s="11"/>
      <c r="E105" s="12">
        <f>ROUND(0,2)</f>
        <v>0</v>
      </c>
      <c r="F105" s="12">
        <f aca="true" t="shared" si="45" ref="F105:F106">ROUND(13800,2)</f>
        <v>13800</v>
      </c>
      <c r="G105" s="12">
        <f>ROUND(13800,2)</f>
        <v>13800</v>
      </c>
      <c r="H105" s="12">
        <f>ROUND(13800,2)</f>
        <v>13800</v>
      </c>
      <c r="I105" s="13">
        <f>ROUND(13800,2)</f>
        <v>13800</v>
      </c>
      <c r="J105" s="13"/>
      <c r="K105" s="13">
        <f>ROUND(13800,2)</f>
        <v>13800</v>
      </c>
      <c r="L105" s="13"/>
      <c r="M105" s="12">
        <f>ROUND(13800,2)</f>
        <v>13800</v>
      </c>
      <c r="N105" s="12">
        <f>ROUND(13800,2)</f>
        <v>13800</v>
      </c>
      <c r="O105" s="12">
        <f aca="true" t="shared" si="46" ref="O105:O106">ROUND(0,2)</f>
        <v>0</v>
      </c>
      <c r="P105" s="14">
        <v>0</v>
      </c>
      <c r="Q105" s="14">
        <v>100</v>
      </c>
    </row>
    <row r="106" spans="1:17" ht="12.75" customHeight="1">
      <c r="A106" s="15" t="s">
        <v>99</v>
      </c>
      <c r="B106" s="15"/>
      <c r="C106" s="15"/>
      <c r="D106" s="15"/>
      <c r="E106" s="16" t="s">
        <v>100</v>
      </c>
      <c r="F106" s="17">
        <f t="shared" si="45"/>
        <v>13800</v>
      </c>
      <c r="G106" s="17">
        <f>ROUND(0,2)</f>
        <v>0</v>
      </c>
      <c r="H106" s="17">
        <f>ROUND(0,2)</f>
        <v>0</v>
      </c>
      <c r="I106" s="17">
        <f>ROUND(0,2)</f>
        <v>0</v>
      </c>
      <c r="J106" s="17"/>
      <c r="K106" s="17">
        <f aca="true" t="shared" si="47" ref="K106:K108">ROUND(0,2)</f>
        <v>0</v>
      </c>
      <c r="L106" s="17"/>
      <c r="M106" s="17">
        <f aca="true" t="shared" si="48" ref="M106:M108">ROUND(0,2)</f>
        <v>0</v>
      </c>
      <c r="N106" s="17">
        <f aca="true" t="shared" si="49" ref="N106:N108">ROUND(0,2)</f>
        <v>0</v>
      </c>
      <c r="O106" s="17">
        <f t="shared" si="46"/>
        <v>0</v>
      </c>
      <c r="P106" s="18">
        <v>100</v>
      </c>
      <c r="Q106" s="18">
        <v>100</v>
      </c>
    </row>
    <row r="107" spans="1:17" ht="12.75" customHeight="1">
      <c r="A107" s="10"/>
      <c r="B107" s="11" t="s">
        <v>101</v>
      </c>
      <c r="C107" s="11"/>
      <c r="D107" s="11"/>
      <c r="E107" s="12">
        <f>ROUND(19500,2)</f>
        <v>19500</v>
      </c>
      <c r="F107" s="12">
        <f>ROUND(26900,2)</f>
        <v>26900</v>
      </c>
      <c r="G107" s="12">
        <f>ROUND(46400,2)</f>
        <v>46400</v>
      </c>
      <c r="H107" s="12">
        <f>ROUND(40618.49,2)</f>
        <v>40618.49</v>
      </c>
      <c r="I107" s="13">
        <f aca="true" t="shared" si="50" ref="I107:I108">ROUND(40618.49,2)</f>
        <v>40618.49</v>
      </c>
      <c r="J107" s="13"/>
      <c r="K107" s="13">
        <f t="shared" si="47"/>
        <v>0</v>
      </c>
      <c r="L107" s="13"/>
      <c r="M107" s="12">
        <f t="shared" si="48"/>
        <v>0</v>
      </c>
      <c r="N107" s="12">
        <f t="shared" si="49"/>
        <v>0</v>
      </c>
      <c r="O107" s="12">
        <f>ROUND(5781.51,2)</f>
        <v>5781.51</v>
      </c>
      <c r="P107" s="14">
        <v>12.460150862068966</v>
      </c>
      <c r="Q107" s="14">
        <v>0</v>
      </c>
    </row>
    <row r="108" spans="1:17" ht="12.75" customHeight="1">
      <c r="A108" s="15" t="s">
        <v>102</v>
      </c>
      <c r="B108" s="15"/>
      <c r="C108" s="15"/>
      <c r="D108" s="15"/>
      <c r="E108" s="16" t="s">
        <v>103</v>
      </c>
      <c r="F108" s="17">
        <f>ROUND(0,2)</f>
        <v>0</v>
      </c>
      <c r="G108" s="17">
        <f>ROUND(0,2)</f>
        <v>0</v>
      </c>
      <c r="H108" s="17">
        <f>ROUND(0,2)</f>
        <v>0</v>
      </c>
      <c r="I108" s="17">
        <f t="shared" si="50"/>
        <v>40618.49</v>
      </c>
      <c r="J108" s="17"/>
      <c r="K108" s="17">
        <f t="shared" si="47"/>
        <v>0</v>
      </c>
      <c r="L108" s="17"/>
      <c r="M108" s="17">
        <f t="shared" si="48"/>
        <v>0</v>
      </c>
      <c r="N108" s="17">
        <f t="shared" si="49"/>
        <v>0</v>
      </c>
      <c r="O108" s="17">
        <f>ROUND(46400,2)</f>
        <v>46400</v>
      </c>
      <c r="P108" s="18">
        <v>87.53984913793103</v>
      </c>
      <c r="Q108" s="18">
        <v>0</v>
      </c>
    </row>
    <row r="109" spans="1:17" ht="12.75" customHeight="1">
      <c r="A109" s="10"/>
      <c r="B109" s="11" t="s">
        <v>104</v>
      </c>
      <c r="C109" s="11"/>
      <c r="D109" s="11"/>
      <c r="E109" s="12">
        <f>ROUND(50000,2)</f>
        <v>50000</v>
      </c>
      <c r="F109" s="12">
        <f>ROUND(-26900,2)</f>
        <v>-26900</v>
      </c>
      <c r="G109" s="12">
        <f>ROUND(23100,2)</f>
        <v>23100</v>
      </c>
      <c r="H109" s="12">
        <f>ROUND(19372.01,2)</f>
        <v>19372.01</v>
      </c>
      <c r="I109" s="13">
        <f>ROUND(19372.01,2)</f>
        <v>19372.01</v>
      </c>
      <c r="J109" s="13"/>
      <c r="K109" s="13">
        <f>ROUND(19372.01,2)</f>
        <v>19372.01</v>
      </c>
      <c r="L109" s="13"/>
      <c r="M109" s="12">
        <f>ROUND(19372.01,2)</f>
        <v>19372.01</v>
      </c>
      <c r="N109" s="12">
        <f>ROUND(15706.04,2)</f>
        <v>15706.04</v>
      </c>
      <c r="O109" s="12">
        <f>ROUND(3727.99,2)</f>
        <v>3727.99</v>
      </c>
      <c r="P109" s="14">
        <v>16.138484848484847</v>
      </c>
      <c r="Q109" s="14">
        <v>83.86151515151514</v>
      </c>
    </row>
    <row r="110" spans="1:17" ht="12.75" customHeight="1">
      <c r="A110" s="15" t="s">
        <v>105</v>
      </c>
      <c r="B110" s="15"/>
      <c r="C110" s="15"/>
      <c r="D110" s="15"/>
      <c r="E110" s="16" t="s">
        <v>103</v>
      </c>
      <c r="F110" s="17">
        <f>ROUND(0,2)</f>
        <v>0</v>
      </c>
      <c r="G110" s="17">
        <f>ROUND(0,2)</f>
        <v>0</v>
      </c>
      <c r="H110" s="17">
        <f>ROUND(0,2)</f>
        <v>0</v>
      </c>
      <c r="I110" s="17">
        <f>ROUND(0,2)</f>
        <v>0</v>
      </c>
      <c r="J110" s="17"/>
      <c r="K110" s="17">
        <f>ROUND(0,2)</f>
        <v>0</v>
      </c>
      <c r="L110" s="17"/>
      <c r="M110" s="17">
        <f>ROUND(3665.97,2)</f>
        <v>3665.97</v>
      </c>
      <c r="N110" s="17">
        <f>ROUND(0,2)</f>
        <v>0</v>
      </c>
      <c r="O110" s="17">
        <f>ROUND(3727.99,2)</f>
        <v>3727.99</v>
      </c>
      <c r="P110" s="18">
        <v>38.74402</v>
      </c>
      <c r="Q110" s="18">
        <v>81.07594410698736</v>
      </c>
    </row>
    <row r="111" spans="1:17" ht="12.75" customHeight="1">
      <c r="A111" s="19" t="s">
        <v>106</v>
      </c>
      <c r="B111" s="19"/>
      <c r="C111" s="19"/>
      <c r="D111" s="19"/>
      <c r="E111" s="20">
        <f>SUM('DS1'!$A$26:$A$28)</f>
        <v>69500</v>
      </c>
      <c r="F111" s="20">
        <v>13800</v>
      </c>
      <c r="G111" s="20">
        <v>83300</v>
      </c>
      <c r="H111" s="20">
        <v>73790.5</v>
      </c>
      <c r="I111" s="21">
        <v>73790.5</v>
      </c>
      <c r="J111" s="21"/>
      <c r="K111" s="21">
        <v>33172.01</v>
      </c>
      <c r="L111" s="21"/>
      <c r="M111" s="20">
        <v>33172.01</v>
      </c>
      <c r="N111" s="20">
        <v>29506.04</v>
      </c>
      <c r="O111" s="20">
        <v>9509.5</v>
      </c>
      <c r="P111" s="22">
        <v>11.415966386554622</v>
      </c>
      <c r="Q111" s="22">
        <v>39.82234093637455</v>
      </c>
    </row>
    <row r="112" spans="1:17" ht="12.75" customHeight="1">
      <c r="A112" s="23"/>
      <c r="B112" s="24"/>
      <c r="C112" s="24"/>
      <c r="D112" s="24"/>
      <c r="E112" s="23"/>
      <c r="F112" s="20">
        <v>13800</v>
      </c>
      <c r="G112" s="20">
        <v>0</v>
      </c>
      <c r="H112" s="20">
        <v>0</v>
      </c>
      <c r="I112" s="21">
        <v>40618.49</v>
      </c>
      <c r="J112" s="21"/>
      <c r="K112" s="21">
        <v>0</v>
      </c>
      <c r="L112" s="21"/>
      <c r="M112" s="20">
        <v>3665.9699999999975</v>
      </c>
      <c r="N112" s="20">
        <v>0</v>
      </c>
      <c r="O112" s="20">
        <v>50127.990000000005</v>
      </c>
      <c r="P112" s="22">
        <v>88.58403361344538</v>
      </c>
      <c r="Q112" s="22">
        <v>88.94860456149627</v>
      </c>
    </row>
    <row r="113" spans="1:17" ht="20.25" customHeight="1">
      <c r="A113" s="23"/>
      <c r="B113" s="24"/>
      <c r="C113" s="24"/>
      <c r="D113" s="24"/>
      <c r="E113" s="23"/>
      <c r="F113" s="23"/>
      <c r="G113" s="23"/>
      <c r="H113" s="23"/>
      <c r="I113" s="24"/>
      <c r="J113" s="24"/>
      <c r="K113" s="24"/>
      <c r="L113" s="24"/>
      <c r="M113" s="23"/>
      <c r="N113" s="23"/>
      <c r="O113" s="23"/>
      <c r="P113" s="23"/>
      <c r="Q113" s="23"/>
    </row>
    <row r="114" spans="1:17" ht="12.75" customHeight="1">
      <c r="A114" s="10" t="s">
        <v>83</v>
      </c>
      <c r="B114" s="11" t="s">
        <v>107</v>
      </c>
      <c r="C114" s="11"/>
      <c r="D114" s="11"/>
      <c r="E114" s="12">
        <f>ROUND(0,2)</f>
        <v>0</v>
      </c>
      <c r="F114" s="12">
        <f aca="true" t="shared" si="51" ref="F114:F115">ROUND(108010.08,2)</f>
        <v>108010.08</v>
      </c>
      <c r="G114" s="12">
        <f>ROUND(108010.08,2)</f>
        <v>108010.08</v>
      </c>
      <c r="H114" s="12">
        <f>ROUND(108010.08,2)</f>
        <v>108010.08</v>
      </c>
      <c r="I114" s="13">
        <f>ROUND(108010.08,2)</f>
        <v>108010.08</v>
      </c>
      <c r="J114" s="13"/>
      <c r="K114" s="13">
        <f>ROUND(100944,2)</f>
        <v>100944</v>
      </c>
      <c r="L114" s="13"/>
      <c r="M114" s="12">
        <f>ROUND(100944,2)</f>
        <v>100944</v>
      </c>
      <c r="N114" s="12">
        <f>ROUND(100944,2)</f>
        <v>100944</v>
      </c>
      <c r="O114" s="12">
        <f>ROUND(0,2)</f>
        <v>0</v>
      </c>
      <c r="P114" s="14">
        <v>0</v>
      </c>
      <c r="Q114" s="14">
        <v>93.45794392523365</v>
      </c>
    </row>
    <row r="115" spans="1:17" ht="12.75" customHeight="1">
      <c r="A115" s="15" t="s">
        <v>108</v>
      </c>
      <c r="B115" s="15"/>
      <c r="C115" s="15"/>
      <c r="D115" s="15"/>
      <c r="E115" s="16" t="s">
        <v>109</v>
      </c>
      <c r="F115" s="17">
        <f t="shared" si="51"/>
        <v>108010.08</v>
      </c>
      <c r="G115" s="17">
        <f>ROUND(0,2)</f>
        <v>0</v>
      </c>
      <c r="H115" s="17">
        <f>ROUND(0,2)</f>
        <v>0</v>
      </c>
      <c r="I115" s="17">
        <f>ROUND(7066.08,2)</f>
        <v>7066.08</v>
      </c>
      <c r="J115" s="17"/>
      <c r="K115" s="17">
        <f>ROUND(0,2)</f>
        <v>0</v>
      </c>
      <c r="L115" s="17"/>
      <c r="M115" s="17">
        <f>ROUND(0,2)</f>
        <v>0</v>
      </c>
      <c r="N115" s="17">
        <f>ROUND(0,2)</f>
        <v>0</v>
      </c>
      <c r="O115" s="17">
        <f>ROUND(7066.08,2)</f>
        <v>7066.08</v>
      </c>
      <c r="P115" s="18">
        <v>100</v>
      </c>
      <c r="Q115" s="18">
        <v>100</v>
      </c>
    </row>
    <row r="116" spans="1:17" ht="12.75" customHeight="1">
      <c r="A116" s="19" t="s">
        <v>110</v>
      </c>
      <c r="B116" s="19"/>
      <c r="C116" s="19"/>
      <c r="D116" s="19"/>
      <c r="E116" s="20">
        <f>SUM('DS1'!$A$29)</f>
        <v>0</v>
      </c>
      <c r="F116" s="20">
        <v>108010.08</v>
      </c>
      <c r="G116" s="20">
        <v>108010.08</v>
      </c>
      <c r="H116" s="20">
        <v>108010.08</v>
      </c>
      <c r="I116" s="21">
        <v>108010.08</v>
      </c>
      <c r="J116" s="21"/>
      <c r="K116" s="21">
        <v>100944</v>
      </c>
      <c r="L116" s="21"/>
      <c r="M116" s="20">
        <v>100944</v>
      </c>
      <c r="N116" s="20">
        <v>100944</v>
      </c>
      <c r="O116" s="20">
        <v>0</v>
      </c>
      <c r="P116" s="22">
        <v>0</v>
      </c>
      <c r="Q116" s="22">
        <v>93.45794392523365</v>
      </c>
    </row>
    <row r="117" spans="1:17" ht="12.75" customHeight="1">
      <c r="A117" s="23"/>
      <c r="B117" s="24"/>
      <c r="C117" s="24"/>
      <c r="D117" s="24"/>
      <c r="E117" s="23"/>
      <c r="F117" s="20">
        <v>108010.08</v>
      </c>
      <c r="G117" s="20">
        <v>0</v>
      </c>
      <c r="H117" s="20">
        <v>0</v>
      </c>
      <c r="I117" s="21">
        <v>7066.080000000002</v>
      </c>
      <c r="J117" s="21"/>
      <c r="K117" s="21">
        <v>0</v>
      </c>
      <c r="L117" s="21"/>
      <c r="M117" s="20">
        <v>0</v>
      </c>
      <c r="N117" s="20">
        <v>0</v>
      </c>
      <c r="O117" s="20">
        <v>7066.080000000002</v>
      </c>
      <c r="P117" s="22">
        <v>100</v>
      </c>
      <c r="Q117" s="22">
        <v>100</v>
      </c>
    </row>
    <row r="118" spans="1:17" ht="20.25" customHeight="1">
      <c r="A118" s="23"/>
      <c r="B118" s="24"/>
      <c r="C118" s="24"/>
      <c r="D118" s="24"/>
      <c r="E118" s="23"/>
      <c r="F118" s="23"/>
      <c r="G118" s="23"/>
      <c r="H118" s="23"/>
      <c r="I118" s="24"/>
      <c r="J118" s="24"/>
      <c r="K118" s="24"/>
      <c r="L118" s="24"/>
      <c r="M118" s="23"/>
      <c r="N118" s="23"/>
      <c r="O118" s="23"/>
      <c r="P118" s="23"/>
      <c r="Q118" s="23"/>
    </row>
    <row r="119" spans="1:17" ht="12.75" customHeight="1">
      <c r="A119" s="19" t="s">
        <v>111</v>
      </c>
      <c r="B119" s="19"/>
      <c r="C119" s="19"/>
      <c r="D119" s="19"/>
      <c r="E119" s="20">
        <f>SUM('DS1'!$A$4:$A$29)</f>
        <v>4184557.68</v>
      </c>
      <c r="F119" s="20">
        <v>149238.05</v>
      </c>
      <c r="G119" s="20">
        <v>4333795.73</v>
      </c>
      <c r="H119" s="20">
        <v>3181501.69</v>
      </c>
      <c r="I119" s="21">
        <v>3181501.69</v>
      </c>
      <c r="J119" s="21"/>
      <c r="K119" s="21">
        <v>3131855.38</v>
      </c>
      <c r="L119" s="21"/>
      <c r="M119" s="20">
        <v>3131855.38</v>
      </c>
      <c r="N119" s="20">
        <v>3108622.36</v>
      </c>
      <c r="O119" s="20">
        <v>1152294.04</v>
      </c>
      <c r="P119" s="22">
        <v>26.58856373925127</v>
      </c>
      <c r="Q119" s="22">
        <v>72.26587442320452</v>
      </c>
    </row>
    <row r="120" spans="1:17" ht="12.75" customHeight="1">
      <c r="A120" s="23"/>
      <c r="B120" s="24"/>
      <c r="C120" s="24"/>
      <c r="D120" s="24"/>
      <c r="E120" s="23"/>
      <c r="F120" s="20">
        <v>160026.53</v>
      </c>
      <c r="G120" s="20">
        <v>0</v>
      </c>
      <c r="H120" s="20">
        <v>0</v>
      </c>
      <c r="I120" s="21">
        <v>49646.31</v>
      </c>
      <c r="J120" s="21"/>
      <c r="K120" s="21">
        <v>0</v>
      </c>
      <c r="L120" s="21"/>
      <c r="M120" s="20">
        <v>23233.02</v>
      </c>
      <c r="N120" s="20">
        <v>0</v>
      </c>
      <c r="O120" s="20">
        <v>1201940.3500000003</v>
      </c>
      <c r="P120" s="22">
        <v>73.41143626074872</v>
      </c>
      <c r="Q120" s="22">
        <v>99.2581707268999</v>
      </c>
    </row>
    <row r="121" spans="1:17" ht="18" customHeight="1">
      <c r="A121" s="23"/>
      <c r="B121" s="24"/>
      <c r="C121" s="24"/>
      <c r="D121" s="24"/>
      <c r="E121" s="23"/>
      <c r="F121" s="23"/>
      <c r="G121" s="23"/>
      <c r="H121" s="23"/>
      <c r="I121" s="24"/>
      <c r="J121" s="24"/>
      <c r="K121" s="24"/>
      <c r="L121" s="24"/>
      <c r="M121" s="23"/>
      <c r="N121" s="23"/>
      <c r="O121" s="23"/>
      <c r="P121" s="23"/>
      <c r="Q121" s="23"/>
    </row>
    <row r="122" spans="1:17" ht="12.75" customHeight="1">
      <c r="A122" s="10"/>
      <c r="B122" s="11" t="s">
        <v>112</v>
      </c>
      <c r="C122" s="11"/>
      <c r="D122" s="11"/>
      <c r="E122" s="12">
        <f>ROUND(0,2)</f>
        <v>0</v>
      </c>
      <c r="F122" s="12">
        <f>ROUND(300,2)</f>
        <v>300</v>
      </c>
      <c r="G122" s="12">
        <f>ROUND(300,2)</f>
        <v>300</v>
      </c>
      <c r="H122" s="12">
        <f aca="true" t="shared" si="52" ref="H122:H123">ROUND(0,2)</f>
        <v>0</v>
      </c>
      <c r="I122" s="13">
        <f aca="true" t="shared" si="53" ref="I122:I123">ROUND(0,2)</f>
        <v>0</v>
      </c>
      <c r="J122" s="13"/>
      <c r="K122" s="13">
        <f aca="true" t="shared" si="54" ref="K122:K123">ROUND(0,2)</f>
        <v>0</v>
      </c>
      <c r="L122" s="13"/>
      <c r="M122" s="12">
        <f aca="true" t="shared" si="55" ref="M122:M123">ROUND(0,2)</f>
        <v>0</v>
      </c>
      <c r="N122" s="12">
        <f aca="true" t="shared" si="56" ref="N122:N123">ROUND(0,2)</f>
        <v>0</v>
      </c>
      <c r="O122" s="12">
        <f aca="true" t="shared" si="57" ref="O122:O123">ROUND(300,2)</f>
        <v>300</v>
      </c>
      <c r="P122" s="14">
        <v>100</v>
      </c>
      <c r="Q122" s="14">
        <v>0</v>
      </c>
    </row>
    <row r="123" spans="1:17" ht="12.75" customHeight="1">
      <c r="A123" s="15" t="s">
        <v>113</v>
      </c>
      <c r="B123" s="15"/>
      <c r="C123" s="15"/>
      <c r="D123" s="15"/>
      <c r="E123" s="16" t="s">
        <v>41</v>
      </c>
      <c r="F123" s="17">
        <f>ROUND(0,2)</f>
        <v>0</v>
      </c>
      <c r="G123" s="17">
        <f>ROUND(0,2)</f>
        <v>0</v>
      </c>
      <c r="H123" s="17">
        <f t="shared" si="52"/>
        <v>0</v>
      </c>
      <c r="I123" s="17">
        <f t="shared" si="53"/>
        <v>0</v>
      </c>
      <c r="J123" s="17"/>
      <c r="K123" s="17">
        <f t="shared" si="54"/>
        <v>0</v>
      </c>
      <c r="L123" s="17"/>
      <c r="M123" s="17">
        <f t="shared" si="55"/>
        <v>0</v>
      </c>
      <c r="N123" s="17">
        <f t="shared" si="56"/>
        <v>0</v>
      </c>
      <c r="O123" s="17">
        <f t="shared" si="57"/>
        <v>300</v>
      </c>
      <c r="P123" s="18">
        <v>0</v>
      </c>
      <c r="Q123" s="18">
        <v>0</v>
      </c>
    </row>
    <row r="124" spans="1:17" ht="12.75" customHeight="1">
      <c r="A124" s="19" t="s">
        <v>114</v>
      </c>
      <c r="B124" s="19"/>
      <c r="C124" s="19"/>
      <c r="D124" s="19"/>
      <c r="E124" s="20">
        <f>SUM('DS1'!$A$30)</f>
        <v>0</v>
      </c>
      <c r="F124" s="20">
        <v>300</v>
      </c>
      <c r="G124" s="20">
        <v>300</v>
      </c>
      <c r="H124" s="20">
        <v>0</v>
      </c>
      <c r="I124" s="21">
        <v>0</v>
      </c>
      <c r="J124" s="21"/>
      <c r="K124" s="21">
        <v>0</v>
      </c>
      <c r="L124" s="21"/>
      <c r="M124" s="20">
        <v>0</v>
      </c>
      <c r="N124" s="20">
        <v>0</v>
      </c>
      <c r="O124" s="20">
        <v>300</v>
      </c>
      <c r="P124" s="22">
        <v>100</v>
      </c>
      <c r="Q124" s="22">
        <v>0</v>
      </c>
    </row>
    <row r="125" spans="1:17" ht="12.75" customHeight="1">
      <c r="A125" s="23"/>
      <c r="B125" s="24"/>
      <c r="C125" s="24"/>
      <c r="D125" s="24"/>
      <c r="E125" s="23"/>
      <c r="F125" s="20">
        <v>0</v>
      </c>
      <c r="G125" s="20">
        <v>0</v>
      </c>
      <c r="H125" s="20">
        <v>0</v>
      </c>
      <c r="I125" s="21">
        <v>0</v>
      </c>
      <c r="J125" s="21"/>
      <c r="K125" s="21">
        <v>0</v>
      </c>
      <c r="L125" s="21"/>
      <c r="M125" s="20">
        <v>0</v>
      </c>
      <c r="N125" s="20">
        <v>0</v>
      </c>
      <c r="O125" s="20">
        <v>300</v>
      </c>
      <c r="P125" s="22">
        <v>0</v>
      </c>
      <c r="Q125" s="22">
        <v>0</v>
      </c>
    </row>
    <row r="126" spans="1:17" ht="20.25" customHeight="1">
      <c r="A126" s="23"/>
      <c r="B126" s="24"/>
      <c r="C126" s="24"/>
      <c r="D126" s="24"/>
      <c r="E126" s="23"/>
      <c r="F126" s="23"/>
      <c r="G126" s="23"/>
      <c r="H126" s="23"/>
      <c r="I126" s="24"/>
      <c r="J126" s="24"/>
      <c r="K126" s="24"/>
      <c r="L126" s="24"/>
      <c r="M126" s="23"/>
      <c r="N126" s="23"/>
      <c r="O126" s="23"/>
      <c r="P126" s="23"/>
      <c r="Q126" s="23"/>
    </row>
    <row r="127" spans="1:17" ht="12.75" customHeight="1">
      <c r="A127" s="10"/>
      <c r="B127" s="11" t="s">
        <v>115</v>
      </c>
      <c r="C127" s="11"/>
      <c r="D127" s="11"/>
      <c r="E127" s="12">
        <f>ROUND(1000,2)</f>
        <v>1000</v>
      </c>
      <c r="F127" s="12">
        <f aca="true" t="shared" si="58" ref="F127:F128">ROUND(0,2)</f>
        <v>0</v>
      </c>
      <c r="G127" s="12">
        <f>ROUND(1000,2)</f>
        <v>1000</v>
      </c>
      <c r="H127" s="12">
        <f>ROUND(3822.9,2)</f>
        <v>3822.9</v>
      </c>
      <c r="I127" s="13">
        <f>ROUND(3822.9,2)</f>
        <v>3822.9</v>
      </c>
      <c r="J127" s="13"/>
      <c r="K127" s="13">
        <f>ROUND(3822.9,2)</f>
        <v>3822.9</v>
      </c>
      <c r="L127" s="13"/>
      <c r="M127" s="12">
        <f>ROUND(3822.9,2)</f>
        <v>3822.9</v>
      </c>
      <c r="N127" s="12">
        <f>ROUND(3822.9,2)</f>
        <v>3822.9</v>
      </c>
      <c r="O127" s="12">
        <f aca="true" t="shared" si="59" ref="O127:O128">ROUND(-2822.9,2)</f>
        <v>-2822.9</v>
      </c>
      <c r="P127" s="14">
        <v>-282.29</v>
      </c>
      <c r="Q127" s="14">
        <v>382.29</v>
      </c>
    </row>
    <row r="128" spans="1:17" ht="12.75" customHeight="1">
      <c r="A128" s="15" t="s">
        <v>116</v>
      </c>
      <c r="B128" s="15"/>
      <c r="C128" s="15"/>
      <c r="D128" s="15"/>
      <c r="E128" s="16" t="s">
        <v>75</v>
      </c>
      <c r="F128" s="17">
        <f t="shared" si="58"/>
        <v>0</v>
      </c>
      <c r="G128" s="17">
        <f>ROUND(0,2)</f>
        <v>0</v>
      </c>
      <c r="H128" s="17">
        <f>ROUND(0,2)</f>
        <v>0</v>
      </c>
      <c r="I128" s="17">
        <f>ROUND(0,2)</f>
        <v>0</v>
      </c>
      <c r="J128" s="17"/>
      <c r="K128" s="17">
        <f>ROUND(0,2)</f>
        <v>0</v>
      </c>
      <c r="L128" s="17"/>
      <c r="M128" s="17">
        <f>ROUND(0,2)</f>
        <v>0</v>
      </c>
      <c r="N128" s="17">
        <f>ROUND(0,2)</f>
        <v>0</v>
      </c>
      <c r="O128" s="17">
        <f t="shared" si="59"/>
        <v>-2822.9</v>
      </c>
      <c r="P128" s="18">
        <v>382.29</v>
      </c>
      <c r="Q128" s="18">
        <v>100</v>
      </c>
    </row>
    <row r="129" spans="1:17" ht="12.75" customHeight="1">
      <c r="A129" s="19" t="s">
        <v>82</v>
      </c>
      <c r="B129" s="19"/>
      <c r="C129" s="19"/>
      <c r="D129" s="19"/>
      <c r="E129" s="20">
        <f>SUM('DS1'!$A$31)</f>
        <v>1000</v>
      </c>
      <c r="F129" s="20">
        <v>0</v>
      </c>
      <c r="G129" s="20">
        <v>1000</v>
      </c>
      <c r="H129" s="20">
        <v>3822.9</v>
      </c>
      <c r="I129" s="21">
        <v>3822.9</v>
      </c>
      <c r="J129" s="21"/>
      <c r="K129" s="21">
        <v>3822.9</v>
      </c>
      <c r="L129" s="21"/>
      <c r="M129" s="20">
        <v>3822.9</v>
      </c>
      <c r="N129" s="20">
        <v>3822.9</v>
      </c>
      <c r="O129" s="20">
        <v>-2822.9</v>
      </c>
      <c r="P129" s="22">
        <v>-282.29</v>
      </c>
      <c r="Q129" s="22">
        <v>382.29</v>
      </c>
    </row>
    <row r="130" spans="1:17" ht="12.75" customHeight="1">
      <c r="A130" s="23"/>
      <c r="B130" s="24"/>
      <c r="C130" s="24"/>
      <c r="D130" s="24"/>
      <c r="E130" s="23"/>
      <c r="F130" s="20">
        <v>0</v>
      </c>
      <c r="G130" s="20">
        <v>0</v>
      </c>
      <c r="H130" s="20">
        <v>0</v>
      </c>
      <c r="I130" s="21">
        <v>0</v>
      </c>
      <c r="J130" s="21"/>
      <c r="K130" s="21">
        <v>0</v>
      </c>
      <c r="L130" s="21"/>
      <c r="M130" s="20">
        <v>0</v>
      </c>
      <c r="N130" s="20">
        <v>0</v>
      </c>
      <c r="O130" s="20">
        <v>-2822.9</v>
      </c>
      <c r="P130" s="22">
        <v>382.29</v>
      </c>
      <c r="Q130" s="22">
        <v>100</v>
      </c>
    </row>
    <row r="131" spans="1:17" ht="20.25" customHeight="1">
      <c r="A131" s="23"/>
      <c r="B131" s="24"/>
      <c r="C131" s="24"/>
      <c r="D131" s="24"/>
      <c r="E131" s="23"/>
      <c r="F131" s="23"/>
      <c r="G131" s="23"/>
      <c r="H131" s="23"/>
      <c r="I131" s="24"/>
      <c r="J131" s="24"/>
      <c r="K131" s="24"/>
      <c r="L131" s="24"/>
      <c r="M131" s="23"/>
      <c r="N131" s="23"/>
      <c r="O131" s="23"/>
      <c r="P131" s="23"/>
      <c r="Q131" s="23"/>
    </row>
    <row r="132" spans="1:17" ht="12.75" customHeight="1">
      <c r="A132" s="10"/>
      <c r="B132" s="11" t="s">
        <v>117</v>
      </c>
      <c r="C132" s="11"/>
      <c r="D132" s="11"/>
      <c r="E132" s="12">
        <f>ROUND(0,2)</f>
        <v>0</v>
      </c>
      <c r="F132" s="12">
        <f aca="true" t="shared" si="60" ref="F132:F133">ROUND(0,2)</f>
        <v>0</v>
      </c>
      <c r="G132" s="12">
        <f aca="true" t="shared" si="61" ref="G132:G133">ROUND(0,2)</f>
        <v>0</v>
      </c>
      <c r="H132" s="12">
        <f>ROUND(4653.36,2)</f>
        <v>4653.36</v>
      </c>
      <c r="I132" s="13">
        <f>ROUND(4653.36,2)</f>
        <v>4653.36</v>
      </c>
      <c r="J132" s="13"/>
      <c r="K132" s="13">
        <f>ROUND(4653.36,2)</f>
        <v>4653.36</v>
      </c>
      <c r="L132" s="13"/>
      <c r="M132" s="12">
        <f>ROUND(4653.36,2)</f>
        <v>4653.36</v>
      </c>
      <c r="N132" s="12">
        <f>ROUND(4619.81,2)</f>
        <v>4619.81</v>
      </c>
      <c r="O132" s="12">
        <f aca="true" t="shared" si="62" ref="O132:O133">ROUND(-4653.36,2)</f>
        <v>-4653.36</v>
      </c>
      <c r="P132" s="14">
        <v>0</v>
      </c>
      <c r="Q132" s="14">
        <v>0</v>
      </c>
    </row>
    <row r="133" spans="1:17" ht="12.75" customHeight="1">
      <c r="A133" s="15" t="s">
        <v>118</v>
      </c>
      <c r="B133" s="15"/>
      <c r="C133" s="15"/>
      <c r="D133" s="15"/>
      <c r="E133" s="16" t="s">
        <v>36</v>
      </c>
      <c r="F133" s="17">
        <f t="shared" si="60"/>
        <v>0</v>
      </c>
      <c r="G133" s="17">
        <f t="shared" si="61"/>
        <v>0</v>
      </c>
      <c r="H133" s="17">
        <f>ROUND(0,2)</f>
        <v>0</v>
      </c>
      <c r="I133" s="17">
        <f>ROUND(0,2)</f>
        <v>0</v>
      </c>
      <c r="J133" s="17"/>
      <c r="K133" s="17">
        <f>ROUND(0,2)</f>
        <v>0</v>
      </c>
      <c r="L133" s="17"/>
      <c r="M133" s="17">
        <f>ROUND(33.5499999999993,2)</f>
        <v>33.55</v>
      </c>
      <c r="N133" s="17">
        <f>ROUND(0,2)</f>
        <v>0</v>
      </c>
      <c r="O133" s="17">
        <f t="shared" si="62"/>
        <v>-4653.36</v>
      </c>
      <c r="P133" s="18">
        <v>0</v>
      </c>
      <c r="Q133" s="18">
        <v>99.27901559303388</v>
      </c>
    </row>
    <row r="134" spans="1:17" ht="12.75" customHeight="1">
      <c r="A134" s="10"/>
      <c r="B134" s="11" t="s">
        <v>119</v>
      </c>
      <c r="C134" s="11"/>
      <c r="D134" s="11"/>
      <c r="E134" s="12">
        <f>ROUND(20000,2)</f>
        <v>20000</v>
      </c>
      <c r="F134" s="12">
        <f>ROUND(-11112.81,2)</f>
        <v>-11112.81</v>
      </c>
      <c r="G134" s="12">
        <f>ROUND(8887.19,2)</f>
        <v>8887.19</v>
      </c>
      <c r="H134" s="12">
        <f>ROUND(4354.29,2)</f>
        <v>4354.29</v>
      </c>
      <c r="I134" s="13">
        <f>ROUND(4354.29,2)</f>
        <v>4354.29</v>
      </c>
      <c r="J134" s="13"/>
      <c r="K134" s="13">
        <f>ROUND(4354.29,2)</f>
        <v>4354.29</v>
      </c>
      <c r="L134" s="13"/>
      <c r="M134" s="12">
        <f>ROUND(4354.29,2)</f>
        <v>4354.29</v>
      </c>
      <c r="N134" s="12">
        <f>ROUND(4354.29,2)</f>
        <v>4354.29</v>
      </c>
      <c r="O134" s="12">
        <f>ROUND(4532.9,2)</f>
        <v>4532.9</v>
      </c>
      <c r="P134" s="14">
        <v>51.00487330641068</v>
      </c>
      <c r="Q134" s="14">
        <v>48.995126693589306</v>
      </c>
    </row>
    <row r="135" spans="1:17" ht="12.75" customHeight="1">
      <c r="A135" s="15" t="s">
        <v>120</v>
      </c>
      <c r="B135" s="15"/>
      <c r="C135" s="15"/>
      <c r="D135" s="15"/>
      <c r="E135" s="16" t="s">
        <v>36</v>
      </c>
      <c r="F135" s="17">
        <f>ROUND(0,2)</f>
        <v>0</v>
      </c>
      <c r="G135" s="17">
        <f aca="true" t="shared" si="63" ref="G135:G137">ROUND(0,2)</f>
        <v>0</v>
      </c>
      <c r="H135" s="17">
        <f aca="true" t="shared" si="64" ref="H135:H137">ROUND(0,2)</f>
        <v>0</v>
      </c>
      <c r="I135" s="17">
        <f aca="true" t="shared" si="65" ref="I135:I137">ROUND(0,2)</f>
        <v>0</v>
      </c>
      <c r="J135" s="17"/>
      <c r="K135" s="17">
        <f aca="true" t="shared" si="66" ref="K135:K137">ROUND(0,2)</f>
        <v>0</v>
      </c>
      <c r="L135" s="17"/>
      <c r="M135" s="17">
        <f aca="true" t="shared" si="67" ref="M135:M137">ROUND(0,2)</f>
        <v>0</v>
      </c>
      <c r="N135" s="17">
        <f aca="true" t="shared" si="68" ref="N135:N137">ROUND(0,2)</f>
        <v>0</v>
      </c>
      <c r="O135" s="17">
        <f>ROUND(4532.9,2)</f>
        <v>4532.9</v>
      </c>
      <c r="P135" s="18">
        <v>21.77145</v>
      </c>
      <c r="Q135" s="18">
        <v>100</v>
      </c>
    </row>
    <row r="136" spans="1:17" ht="12.75" customHeight="1">
      <c r="A136" s="10"/>
      <c r="B136" s="11" t="s">
        <v>121</v>
      </c>
      <c r="C136" s="11"/>
      <c r="D136" s="11"/>
      <c r="E136" s="12">
        <f>ROUND(10000,2)</f>
        <v>10000</v>
      </c>
      <c r="F136" s="12">
        <f>ROUND(-10000,2)</f>
        <v>-10000</v>
      </c>
      <c r="G136" s="12">
        <f t="shared" si="63"/>
        <v>0</v>
      </c>
      <c r="H136" s="12">
        <f t="shared" si="64"/>
        <v>0</v>
      </c>
      <c r="I136" s="13">
        <f t="shared" si="65"/>
        <v>0</v>
      </c>
      <c r="J136" s="13"/>
      <c r="K136" s="13">
        <f t="shared" si="66"/>
        <v>0</v>
      </c>
      <c r="L136" s="13"/>
      <c r="M136" s="12">
        <f t="shared" si="67"/>
        <v>0</v>
      </c>
      <c r="N136" s="12">
        <f t="shared" si="68"/>
        <v>0</v>
      </c>
      <c r="O136" s="12">
        <f aca="true" t="shared" si="69" ref="O136:O137">ROUND(0,2)</f>
        <v>0</v>
      </c>
      <c r="P136" s="14">
        <v>0</v>
      </c>
      <c r="Q136" s="14">
        <v>0</v>
      </c>
    </row>
    <row r="137" spans="1:17" ht="12.75" customHeight="1">
      <c r="A137" s="15" t="s">
        <v>122</v>
      </c>
      <c r="B137" s="15"/>
      <c r="C137" s="15"/>
      <c r="D137" s="15"/>
      <c r="E137" s="16" t="s">
        <v>36</v>
      </c>
      <c r="F137" s="17">
        <f>ROUND(0,2)</f>
        <v>0</v>
      </c>
      <c r="G137" s="17">
        <f t="shared" si="63"/>
        <v>0</v>
      </c>
      <c r="H137" s="17">
        <f t="shared" si="64"/>
        <v>0</v>
      </c>
      <c r="I137" s="17">
        <f t="shared" si="65"/>
        <v>0</v>
      </c>
      <c r="J137" s="17"/>
      <c r="K137" s="17">
        <f t="shared" si="66"/>
        <v>0</v>
      </c>
      <c r="L137" s="17"/>
      <c r="M137" s="17">
        <f t="shared" si="67"/>
        <v>0</v>
      </c>
      <c r="N137" s="17">
        <f t="shared" si="68"/>
        <v>0</v>
      </c>
      <c r="O137" s="17">
        <f t="shared" si="69"/>
        <v>0</v>
      </c>
      <c r="P137" s="18">
        <v>0</v>
      </c>
      <c r="Q137" s="18">
        <v>0</v>
      </c>
    </row>
    <row r="138" spans="1:17" ht="12.75" customHeight="1">
      <c r="A138" s="19" t="s">
        <v>92</v>
      </c>
      <c r="B138" s="19"/>
      <c r="C138" s="19"/>
      <c r="D138" s="19"/>
      <c r="E138" s="20">
        <f>SUM('DS1'!$A$32:$A$34)</f>
        <v>30000</v>
      </c>
      <c r="F138" s="20">
        <v>-21112.81</v>
      </c>
      <c r="G138" s="20">
        <v>8887.19</v>
      </c>
      <c r="H138" s="20">
        <v>9007.65</v>
      </c>
      <c r="I138" s="21">
        <v>9007.65</v>
      </c>
      <c r="J138" s="21"/>
      <c r="K138" s="21">
        <v>9007.65</v>
      </c>
      <c r="L138" s="21"/>
      <c r="M138" s="20">
        <v>9007.65</v>
      </c>
      <c r="N138" s="20">
        <v>8974.1</v>
      </c>
      <c r="O138" s="20">
        <v>-120.46</v>
      </c>
      <c r="P138" s="22">
        <v>-1.3554340573342079</v>
      </c>
      <c r="Q138" s="22">
        <v>101.35543405733421</v>
      </c>
    </row>
    <row r="139" spans="1:17" ht="12.75" customHeight="1">
      <c r="A139" s="23"/>
      <c r="B139" s="24"/>
      <c r="C139" s="24"/>
      <c r="D139" s="24"/>
      <c r="E139" s="23"/>
      <c r="F139" s="20">
        <v>0</v>
      </c>
      <c r="G139" s="20">
        <v>0</v>
      </c>
      <c r="H139" s="20">
        <v>0</v>
      </c>
      <c r="I139" s="21">
        <v>0</v>
      </c>
      <c r="J139" s="21"/>
      <c r="K139" s="21">
        <v>0</v>
      </c>
      <c r="L139" s="21"/>
      <c r="M139" s="20">
        <v>33.54999999999927</v>
      </c>
      <c r="N139" s="20">
        <v>0</v>
      </c>
      <c r="O139" s="20">
        <v>-120.45999999999913</v>
      </c>
      <c r="P139" s="22">
        <v>101.35543405733421</v>
      </c>
      <c r="Q139" s="22">
        <v>99.62753881423014</v>
      </c>
    </row>
    <row r="140" spans="1:17" ht="20.25" customHeight="1">
      <c r="A140" s="23"/>
      <c r="B140" s="24"/>
      <c r="C140" s="24"/>
      <c r="D140" s="24"/>
      <c r="E140" s="23"/>
      <c r="F140" s="23"/>
      <c r="G140" s="23"/>
      <c r="H140" s="23"/>
      <c r="I140" s="24"/>
      <c r="J140" s="24"/>
      <c r="K140" s="24"/>
      <c r="L140" s="24"/>
      <c r="M140" s="23"/>
      <c r="N140" s="23"/>
      <c r="O140" s="23"/>
      <c r="P140" s="23"/>
      <c r="Q140" s="23"/>
    </row>
    <row r="141" spans="1:17" ht="12.75" customHeight="1">
      <c r="A141" s="10"/>
      <c r="B141" s="11" t="s">
        <v>123</v>
      </c>
      <c r="C141" s="11"/>
      <c r="D141" s="11"/>
      <c r="E141" s="12">
        <f>ROUND(30000,2)</f>
        <v>30000</v>
      </c>
      <c r="F141" s="12">
        <f>ROUND(-25300,2)</f>
        <v>-25300</v>
      </c>
      <c r="G141" s="12">
        <f>ROUND(4700,2)</f>
        <v>4700</v>
      </c>
      <c r="H141" s="12">
        <f>ROUND(119.9,2)</f>
        <v>119.9</v>
      </c>
      <c r="I141" s="13">
        <f>ROUND(119.9,2)</f>
        <v>119.9</v>
      </c>
      <c r="J141" s="13"/>
      <c r="K141" s="13">
        <f>ROUND(119.9,2)</f>
        <v>119.9</v>
      </c>
      <c r="L141" s="13"/>
      <c r="M141" s="12">
        <f>ROUND(119.9,2)</f>
        <v>119.9</v>
      </c>
      <c r="N141" s="12">
        <f>ROUND(119.9,2)</f>
        <v>119.9</v>
      </c>
      <c r="O141" s="12">
        <f aca="true" t="shared" si="70" ref="O141:O142">ROUND(4580.1,2)</f>
        <v>4580.1</v>
      </c>
      <c r="P141" s="14">
        <v>97.44893617021278</v>
      </c>
      <c r="Q141" s="14">
        <v>2.551063829787234</v>
      </c>
    </row>
    <row r="142" spans="1:17" ht="12.75" customHeight="1">
      <c r="A142" s="15" t="s">
        <v>118</v>
      </c>
      <c r="B142" s="15"/>
      <c r="C142" s="15"/>
      <c r="D142" s="15"/>
      <c r="E142" s="16" t="s">
        <v>36</v>
      </c>
      <c r="F142" s="17">
        <f>ROUND(0,2)</f>
        <v>0</v>
      </c>
      <c r="G142" s="17">
        <f>ROUND(0,2)</f>
        <v>0</v>
      </c>
      <c r="H142" s="17">
        <f>ROUND(0,2)</f>
        <v>0</v>
      </c>
      <c r="I142" s="17">
        <f>ROUND(0,2)</f>
        <v>0</v>
      </c>
      <c r="J142" s="17"/>
      <c r="K142" s="17">
        <f>ROUND(0,2)</f>
        <v>0</v>
      </c>
      <c r="L142" s="17"/>
      <c r="M142" s="17">
        <f>ROUND(0,2)</f>
        <v>0</v>
      </c>
      <c r="N142" s="17">
        <f>ROUND(0,2)</f>
        <v>0</v>
      </c>
      <c r="O142" s="17">
        <f t="shared" si="70"/>
        <v>4580.1</v>
      </c>
      <c r="P142" s="18">
        <v>0.39966666666666667</v>
      </c>
      <c r="Q142" s="18">
        <v>100</v>
      </c>
    </row>
    <row r="143" spans="1:17" ht="12.75" customHeight="1">
      <c r="A143" s="19" t="s">
        <v>124</v>
      </c>
      <c r="B143" s="19"/>
      <c r="C143" s="19"/>
      <c r="D143" s="19"/>
      <c r="E143" s="20">
        <f>SUM('DS1'!$A$35)</f>
        <v>30000</v>
      </c>
      <c r="F143" s="20">
        <v>-25300</v>
      </c>
      <c r="G143" s="20">
        <v>4700</v>
      </c>
      <c r="H143" s="20">
        <v>119.9</v>
      </c>
      <c r="I143" s="21">
        <v>119.9</v>
      </c>
      <c r="J143" s="21"/>
      <c r="K143" s="21">
        <v>119.9</v>
      </c>
      <c r="L143" s="21"/>
      <c r="M143" s="20">
        <v>119.9</v>
      </c>
      <c r="N143" s="20">
        <v>119.9</v>
      </c>
      <c r="O143" s="20">
        <v>4580.1</v>
      </c>
      <c r="P143" s="22">
        <v>97.44893617021278</v>
      </c>
      <c r="Q143" s="22">
        <v>2.551063829787234</v>
      </c>
    </row>
    <row r="144" spans="1:17" ht="12.75" customHeight="1">
      <c r="A144" s="23"/>
      <c r="B144" s="24"/>
      <c r="C144" s="24"/>
      <c r="D144" s="24"/>
      <c r="E144" s="23"/>
      <c r="F144" s="20">
        <v>0</v>
      </c>
      <c r="G144" s="20">
        <v>0</v>
      </c>
      <c r="H144" s="20">
        <v>0</v>
      </c>
      <c r="I144" s="21">
        <v>0</v>
      </c>
      <c r="J144" s="21"/>
      <c r="K144" s="21">
        <v>0</v>
      </c>
      <c r="L144" s="21"/>
      <c r="M144" s="20">
        <v>0</v>
      </c>
      <c r="N144" s="20">
        <v>0</v>
      </c>
      <c r="O144" s="20">
        <v>4580.1</v>
      </c>
      <c r="P144" s="22">
        <v>2.551063829787234</v>
      </c>
      <c r="Q144" s="22">
        <v>100</v>
      </c>
    </row>
    <row r="145" spans="1:17" ht="20.25" customHeight="1">
      <c r="A145" s="23"/>
      <c r="B145" s="24"/>
      <c r="C145" s="24"/>
      <c r="D145" s="24"/>
      <c r="E145" s="23"/>
      <c r="F145" s="23"/>
      <c r="G145" s="23"/>
      <c r="H145" s="23"/>
      <c r="I145" s="24"/>
      <c r="J145" s="24"/>
      <c r="K145" s="24"/>
      <c r="L145" s="24"/>
      <c r="M145" s="23"/>
      <c r="N145" s="23"/>
      <c r="O145" s="23"/>
      <c r="P145" s="23"/>
      <c r="Q145" s="23"/>
    </row>
    <row r="146" spans="1:17" ht="12.75" customHeight="1">
      <c r="A146" s="10" t="s">
        <v>83</v>
      </c>
      <c r="B146" s="11" t="s">
        <v>125</v>
      </c>
      <c r="C146" s="11"/>
      <c r="D146" s="11"/>
      <c r="E146" s="12">
        <f>ROUND(0,2)</f>
        <v>0</v>
      </c>
      <c r="F146" s="12">
        <f aca="true" t="shared" si="71" ref="F146:F147">ROUND(31386.7,2)</f>
        <v>31386.7</v>
      </c>
      <c r="G146" s="12">
        <f>ROUND(31386.7,2)</f>
        <v>31386.7</v>
      </c>
      <c r="H146" s="12">
        <f aca="true" t="shared" si="72" ref="H146:H147">ROUND(0,2)</f>
        <v>0</v>
      </c>
      <c r="I146" s="13">
        <f aca="true" t="shared" si="73" ref="I146:I147">ROUND(0,2)</f>
        <v>0</v>
      </c>
      <c r="J146" s="13"/>
      <c r="K146" s="13">
        <f aca="true" t="shared" si="74" ref="K146:K147">ROUND(0,2)</f>
        <v>0</v>
      </c>
      <c r="L146" s="13"/>
      <c r="M146" s="12">
        <f aca="true" t="shared" si="75" ref="M146:M147">ROUND(0,2)</f>
        <v>0</v>
      </c>
      <c r="N146" s="12">
        <f aca="true" t="shared" si="76" ref="N146:N147">ROUND(0,2)</f>
        <v>0</v>
      </c>
      <c r="O146" s="12">
        <f aca="true" t="shared" si="77" ref="O146:O147">ROUND(31386.7,2)</f>
        <v>31386.7</v>
      </c>
      <c r="P146" s="14">
        <v>100</v>
      </c>
      <c r="Q146" s="14">
        <v>0</v>
      </c>
    </row>
    <row r="147" spans="1:17" ht="12.75" customHeight="1">
      <c r="A147" s="15" t="s">
        <v>126</v>
      </c>
      <c r="B147" s="15"/>
      <c r="C147" s="15"/>
      <c r="D147" s="15"/>
      <c r="E147" s="16" t="s">
        <v>127</v>
      </c>
      <c r="F147" s="17">
        <f t="shared" si="71"/>
        <v>31386.7</v>
      </c>
      <c r="G147" s="17">
        <f>ROUND(0,2)</f>
        <v>0</v>
      </c>
      <c r="H147" s="17">
        <f t="shared" si="72"/>
        <v>0</v>
      </c>
      <c r="I147" s="17">
        <f t="shared" si="73"/>
        <v>0</v>
      </c>
      <c r="J147" s="17"/>
      <c r="K147" s="17">
        <f t="shared" si="74"/>
        <v>0</v>
      </c>
      <c r="L147" s="17"/>
      <c r="M147" s="17">
        <f t="shared" si="75"/>
        <v>0</v>
      </c>
      <c r="N147" s="17">
        <f t="shared" si="76"/>
        <v>0</v>
      </c>
      <c r="O147" s="17">
        <f t="shared" si="77"/>
        <v>31386.7</v>
      </c>
      <c r="P147" s="18">
        <v>0</v>
      </c>
      <c r="Q147" s="18">
        <v>0</v>
      </c>
    </row>
    <row r="148" spans="1:17" ht="12.75" customHeight="1">
      <c r="A148" s="10"/>
      <c r="B148" s="11" t="s">
        <v>128</v>
      </c>
      <c r="C148" s="11"/>
      <c r="D148" s="11"/>
      <c r="E148" s="12">
        <f>ROUND(565000,2)</f>
        <v>565000</v>
      </c>
      <c r="F148" s="12">
        <f>ROUND(-65000,2)</f>
        <v>-65000</v>
      </c>
      <c r="G148" s="12">
        <f>ROUND(500000,2)</f>
        <v>500000</v>
      </c>
      <c r="H148" s="12">
        <f>ROUND(450710.57,2)</f>
        <v>450710.57</v>
      </c>
      <c r="I148" s="13">
        <f>ROUND(450710.57,2)</f>
        <v>450710.57</v>
      </c>
      <c r="J148" s="13"/>
      <c r="K148" s="13">
        <f>ROUND(450710.57,2)</f>
        <v>450710.57</v>
      </c>
      <c r="L148" s="13"/>
      <c r="M148" s="12">
        <f>ROUND(450710.57,2)</f>
        <v>450710.57</v>
      </c>
      <c r="N148" s="12">
        <f>ROUND(447286.57,2)</f>
        <v>447286.57</v>
      </c>
      <c r="O148" s="12">
        <f>ROUND(49289.43,2)</f>
        <v>49289.43</v>
      </c>
      <c r="P148" s="14">
        <v>9.857886</v>
      </c>
      <c r="Q148" s="14">
        <v>90.142114</v>
      </c>
    </row>
    <row r="149" spans="1:17" ht="12.75" customHeight="1">
      <c r="A149" s="15" t="s">
        <v>126</v>
      </c>
      <c r="B149" s="15"/>
      <c r="C149" s="15"/>
      <c r="D149" s="15"/>
      <c r="E149" s="16" t="s">
        <v>36</v>
      </c>
      <c r="F149" s="17">
        <f>ROUND(0,2)</f>
        <v>0</v>
      </c>
      <c r="G149" s="17">
        <f>ROUND(0,2)</f>
        <v>0</v>
      </c>
      <c r="H149" s="17">
        <f>ROUND(0,2)</f>
        <v>0</v>
      </c>
      <c r="I149" s="17">
        <f>ROUND(0,2)</f>
        <v>0</v>
      </c>
      <c r="J149" s="17"/>
      <c r="K149" s="17">
        <f>ROUND(0,2)</f>
        <v>0</v>
      </c>
      <c r="L149" s="17"/>
      <c r="M149" s="17">
        <f>ROUND(3424,2)</f>
        <v>3424</v>
      </c>
      <c r="N149" s="17">
        <f>ROUND(0,2)</f>
        <v>0</v>
      </c>
      <c r="O149" s="17">
        <f>ROUND(49289.43,2)</f>
        <v>49289.43</v>
      </c>
      <c r="P149" s="18">
        <v>79.77178230088495</v>
      </c>
      <c r="Q149" s="18">
        <v>99.24031069428881</v>
      </c>
    </row>
    <row r="150" spans="1:17" ht="12.75" customHeight="1">
      <c r="A150" s="19" t="s">
        <v>37</v>
      </c>
      <c r="B150" s="19"/>
      <c r="C150" s="19"/>
      <c r="D150" s="19"/>
      <c r="E150" s="20">
        <f>SUM('DS1'!$A$36:$A$37)</f>
        <v>565000</v>
      </c>
      <c r="F150" s="20">
        <v>-33613.3</v>
      </c>
      <c r="G150" s="20">
        <v>531386.7</v>
      </c>
      <c r="H150" s="20">
        <v>450710.57</v>
      </c>
      <c r="I150" s="21">
        <v>450710.57</v>
      </c>
      <c r="J150" s="21"/>
      <c r="K150" s="21">
        <v>450710.57</v>
      </c>
      <c r="L150" s="21"/>
      <c r="M150" s="20">
        <v>450710.57</v>
      </c>
      <c r="N150" s="20">
        <v>447286.57</v>
      </c>
      <c r="O150" s="20">
        <v>80676.13</v>
      </c>
      <c r="P150" s="22">
        <v>15.182188413823683</v>
      </c>
      <c r="Q150" s="22">
        <v>84.81781158617633</v>
      </c>
    </row>
    <row r="151" spans="1:17" ht="12.75" customHeight="1">
      <c r="A151" s="23"/>
      <c r="B151" s="24"/>
      <c r="C151" s="24"/>
      <c r="D151" s="24"/>
      <c r="E151" s="23"/>
      <c r="F151" s="20">
        <v>31386.7</v>
      </c>
      <c r="G151" s="20">
        <v>0</v>
      </c>
      <c r="H151" s="20">
        <v>0</v>
      </c>
      <c r="I151" s="21">
        <v>0</v>
      </c>
      <c r="J151" s="21"/>
      <c r="K151" s="21">
        <v>0</v>
      </c>
      <c r="L151" s="21"/>
      <c r="M151" s="20">
        <v>3424</v>
      </c>
      <c r="N151" s="20">
        <v>0</v>
      </c>
      <c r="O151" s="20">
        <v>80676.12999999999</v>
      </c>
      <c r="P151" s="22">
        <v>84.81781158617633</v>
      </c>
      <c r="Q151" s="22">
        <v>99.24031069428881</v>
      </c>
    </row>
    <row r="152" spans="1:17" ht="20.25" customHeight="1">
      <c r="A152" s="23"/>
      <c r="B152" s="24"/>
      <c r="C152" s="24"/>
      <c r="D152" s="24"/>
      <c r="E152" s="23"/>
      <c r="F152" s="23"/>
      <c r="G152" s="23"/>
      <c r="H152" s="23"/>
      <c r="I152" s="24"/>
      <c r="J152" s="24"/>
      <c r="K152" s="24"/>
      <c r="L152" s="24"/>
      <c r="M152" s="23"/>
      <c r="N152" s="23"/>
      <c r="O152" s="23"/>
      <c r="P152" s="23"/>
      <c r="Q152" s="23"/>
    </row>
    <row r="153" spans="1:17" ht="12.75" customHeight="1">
      <c r="A153" s="10"/>
      <c r="B153" s="11" t="s">
        <v>129</v>
      </c>
      <c r="C153" s="11"/>
      <c r="D153" s="11"/>
      <c r="E153" s="12">
        <f>ROUND(10000,2)</f>
        <v>10000</v>
      </c>
      <c r="F153" s="12">
        <f>ROUND(-8000,2)</f>
        <v>-8000</v>
      </c>
      <c r="G153" s="12">
        <f>ROUND(2000,2)</f>
        <v>2000</v>
      </c>
      <c r="H153" s="12">
        <f aca="true" t="shared" si="78" ref="H153:H154">ROUND(0,2)</f>
        <v>0</v>
      </c>
      <c r="I153" s="13">
        <f aca="true" t="shared" si="79" ref="I153:I154">ROUND(0,2)</f>
        <v>0</v>
      </c>
      <c r="J153" s="13"/>
      <c r="K153" s="13">
        <f aca="true" t="shared" si="80" ref="K153:K154">ROUND(0,2)</f>
        <v>0</v>
      </c>
      <c r="L153" s="13"/>
      <c r="M153" s="12">
        <f aca="true" t="shared" si="81" ref="M153:M154">ROUND(0,2)</f>
        <v>0</v>
      </c>
      <c r="N153" s="12">
        <f aca="true" t="shared" si="82" ref="N153:N154">ROUND(0,2)</f>
        <v>0</v>
      </c>
      <c r="O153" s="12">
        <f aca="true" t="shared" si="83" ref="O153:O154">ROUND(2000,2)</f>
        <v>2000</v>
      </c>
      <c r="P153" s="14">
        <v>100</v>
      </c>
      <c r="Q153" s="14">
        <v>0</v>
      </c>
    </row>
    <row r="154" spans="1:17" ht="12.75" customHeight="1">
      <c r="A154" s="15" t="s">
        <v>130</v>
      </c>
      <c r="B154" s="15"/>
      <c r="C154" s="15"/>
      <c r="D154" s="15"/>
      <c r="E154" s="16" t="s">
        <v>131</v>
      </c>
      <c r="F154" s="17">
        <f>ROUND(0,2)</f>
        <v>0</v>
      </c>
      <c r="G154" s="17">
        <f>ROUND(0,2)</f>
        <v>0</v>
      </c>
      <c r="H154" s="17">
        <f t="shared" si="78"/>
        <v>0</v>
      </c>
      <c r="I154" s="17">
        <f t="shared" si="79"/>
        <v>0</v>
      </c>
      <c r="J154" s="17"/>
      <c r="K154" s="17">
        <f t="shared" si="80"/>
        <v>0</v>
      </c>
      <c r="L154" s="17"/>
      <c r="M154" s="17">
        <f t="shared" si="81"/>
        <v>0</v>
      </c>
      <c r="N154" s="17">
        <f t="shared" si="82"/>
        <v>0</v>
      </c>
      <c r="O154" s="17">
        <f t="shared" si="83"/>
        <v>2000</v>
      </c>
      <c r="P154" s="18">
        <v>0</v>
      </c>
      <c r="Q154" s="18">
        <v>0</v>
      </c>
    </row>
    <row r="155" spans="1:17" ht="12.75" customHeight="1">
      <c r="A155" s="19" t="s">
        <v>132</v>
      </c>
      <c r="B155" s="19"/>
      <c r="C155" s="19"/>
      <c r="D155" s="19"/>
      <c r="E155" s="20">
        <f>SUM('DS1'!$A$38)</f>
        <v>10000</v>
      </c>
      <c r="F155" s="20">
        <v>-8000</v>
      </c>
      <c r="G155" s="20">
        <v>2000</v>
      </c>
      <c r="H155" s="20">
        <v>0</v>
      </c>
      <c r="I155" s="21">
        <v>0</v>
      </c>
      <c r="J155" s="21"/>
      <c r="K155" s="21">
        <v>0</v>
      </c>
      <c r="L155" s="21"/>
      <c r="M155" s="20">
        <v>0</v>
      </c>
      <c r="N155" s="20">
        <v>0</v>
      </c>
      <c r="O155" s="20">
        <v>2000</v>
      </c>
      <c r="P155" s="22">
        <v>100</v>
      </c>
      <c r="Q155" s="22">
        <v>0</v>
      </c>
    </row>
    <row r="156" spans="1:17" ht="12.75" customHeight="1">
      <c r="A156" s="23"/>
      <c r="B156" s="24"/>
      <c r="C156" s="24"/>
      <c r="D156" s="24"/>
      <c r="E156" s="23"/>
      <c r="F156" s="20">
        <v>0</v>
      </c>
      <c r="G156" s="20">
        <v>0</v>
      </c>
      <c r="H156" s="20">
        <v>0</v>
      </c>
      <c r="I156" s="21">
        <v>0</v>
      </c>
      <c r="J156" s="21"/>
      <c r="K156" s="21">
        <v>0</v>
      </c>
      <c r="L156" s="21"/>
      <c r="M156" s="20">
        <v>0</v>
      </c>
      <c r="N156" s="20">
        <v>0</v>
      </c>
      <c r="O156" s="20">
        <v>2000</v>
      </c>
      <c r="P156" s="22">
        <v>0</v>
      </c>
      <c r="Q156" s="22">
        <v>0</v>
      </c>
    </row>
    <row r="157" spans="1:17" ht="20.25" customHeight="1">
      <c r="A157" s="23"/>
      <c r="B157" s="24"/>
      <c r="C157" s="24"/>
      <c r="D157" s="24"/>
      <c r="E157" s="23"/>
      <c r="F157" s="23"/>
      <c r="G157" s="23"/>
      <c r="H157" s="23"/>
      <c r="I157" s="24"/>
      <c r="J157" s="24"/>
      <c r="K157" s="24"/>
      <c r="L157" s="24"/>
      <c r="M157" s="23"/>
      <c r="N157" s="23"/>
      <c r="O157" s="23"/>
      <c r="P157" s="23"/>
      <c r="Q157" s="23"/>
    </row>
    <row r="158" spans="1:17" ht="12.75" customHeight="1">
      <c r="A158" s="10"/>
      <c r="B158" s="11" t="s">
        <v>133</v>
      </c>
      <c r="C158" s="11"/>
      <c r="D158" s="11"/>
      <c r="E158" s="12">
        <f>ROUND(0,2)</f>
        <v>0</v>
      </c>
      <c r="F158" s="12">
        <f>ROUND(21112.81,2)</f>
        <v>21112.81</v>
      </c>
      <c r="G158" s="12">
        <f>ROUND(21112.81,2)</f>
        <v>21112.81</v>
      </c>
      <c r="H158" s="12">
        <f>ROUND(13426.95,2)</f>
        <v>13426.95</v>
      </c>
      <c r="I158" s="13">
        <f>ROUND(13426.95,2)</f>
        <v>13426.95</v>
      </c>
      <c r="J158" s="13"/>
      <c r="K158" s="13">
        <f>ROUND(7190.5,2)</f>
        <v>7190.5</v>
      </c>
      <c r="L158" s="13"/>
      <c r="M158" s="12">
        <f>ROUND(7190.5,2)</f>
        <v>7190.5</v>
      </c>
      <c r="N158" s="12">
        <f>ROUND(5822.5,2)</f>
        <v>5822.5</v>
      </c>
      <c r="O158" s="12">
        <f>ROUND(0,2)</f>
        <v>0</v>
      </c>
      <c r="P158" s="14">
        <v>0</v>
      </c>
      <c r="Q158" s="14">
        <v>34.05752242359023</v>
      </c>
    </row>
    <row r="159" spans="1:17" ht="12.75" customHeight="1">
      <c r="A159" s="15" t="s">
        <v>134</v>
      </c>
      <c r="B159" s="15"/>
      <c r="C159" s="15"/>
      <c r="D159" s="15"/>
      <c r="E159" s="16" t="s">
        <v>103</v>
      </c>
      <c r="F159" s="17">
        <f>ROUND(0,2)</f>
        <v>0</v>
      </c>
      <c r="G159" s="17">
        <f>ROUND(7685.86,2)</f>
        <v>7685.86</v>
      </c>
      <c r="H159" s="17">
        <f>ROUND(0,2)</f>
        <v>0</v>
      </c>
      <c r="I159" s="17">
        <f>ROUND(6236.45,2)</f>
        <v>6236.45</v>
      </c>
      <c r="J159" s="17"/>
      <c r="K159" s="17">
        <f>ROUND(0,2)</f>
        <v>0</v>
      </c>
      <c r="L159" s="17"/>
      <c r="M159" s="17">
        <f>ROUND(1368,2)</f>
        <v>1368</v>
      </c>
      <c r="N159" s="17">
        <f>ROUND(0,2)</f>
        <v>0</v>
      </c>
      <c r="O159" s="17">
        <f>ROUND(13922.31,2)</f>
        <v>13922.31</v>
      </c>
      <c r="P159" s="18">
        <v>63.596224282793244</v>
      </c>
      <c r="Q159" s="18">
        <v>80.97489743411445</v>
      </c>
    </row>
    <row r="160" spans="1:17" ht="12.75" customHeight="1">
      <c r="A160" s="19" t="s">
        <v>106</v>
      </c>
      <c r="B160" s="19"/>
      <c r="C160" s="19"/>
      <c r="D160" s="19"/>
      <c r="E160" s="20">
        <f>SUM('DS1'!$A$39)</f>
        <v>0</v>
      </c>
      <c r="F160" s="20">
        <v>21112.81</v>
      </c>
      <c r="G160" s="20">
        <v>21112.81</v>
      </c>
      <c r="H160" s="20">
        <v>13426.95</v>
      </c>
      <c r="I160" s="21">
        <v>13426.95</v>
      </c>
      <c r="J160" s="21"/>
      <c r="K160" s="21">
        <v>7190.5</v>
      </c>
      <c r="L160" s="21"/>
      <c r="M160" s="20">
        <v>7190.5</v>
      </c>
      <c r="N160" s="20">
        <v>5822.5</v>
      </c>
      <c r="O160" s="20">
        <v>0</v>
      </c>
      <c r="P160" s="22">
        <v>0</v>
      </c>
      <c r="Q160" s="22">
        <v>34.05752242359023</v>
      </c>
    </row>
    <row r="161" spans="1:17" ht="12.75" customHeight="1">
      <c r="A161" s="23"/>
      <c r="B161" s="24"/>
      <c r="C161" s="24"/>
      <c r="D161" s="24"/>
      <c r="E161" s="23"/>
      <c r="F161" s="20">
        <v>0</v>
      </c>
      <c r="G161" s="20">
        <v>7685.86</v>
      </c>
      <c r="H161" s="20">
        <v>0</v>
      </c>
      <c r="I161" s="21">
        <v>6236.450000000001</v>
      </c>
      <c r="J161" s="21"/>
      <c r="K161" s="21">
        <v>0</v>
      </c>
      <c r="L161" s="21"/>
      <c r="M161" s="20">
        <v>1368</v>
      </c>
      <c r="N161" s="20">
        <v>0</v>
      </c>
      <c r="O161" s="20">
        <v>13922.310000000001</v>
      </c>
      <c r="P161" s="22">
        <v>63.596224282793244</v>
      </c>
      <c r="Q161" s="22">
        <v>80.97489743411445</v>
      </c>
    </row>
    <row r="162" spans="1:17" ht="20.25" customHeight="1">
      <c r="A162" s="23"/>
      <c r="B162" s="24"/>
      <c r="C162" s="24"/>
      <c r="D162" s="24"/>
      <c r="E162" s="23"/>
      <c r="F162" s="23"/>
      <c r="G162" s="23"/>
      <c r="H162" s="23"/>
      <c r="I162" s="24"/>
      <c r="J162" s="24"/>
      <c r="K162" s="24"/>
      <c r="L162" s="24"/>
      <c r="M162" s="23"/>
      <c r="N162" s="23"/>
      <c r="O162" s="23"/>
      <c r="P162" s="23"/>
      <c r="Q162" s="23"/>
    </row>
    <row r="163" spans="1:17" ht="12.75" customHeight="1">
      <c r="A163" s="19" t="s">
        <v>135</v>
      </c>
      <c r="B163" s="19"/>
      <c r="C163" s="19"/>
      <c r="D163" s="19"/>
      <c r="E163" s="20">
        <f>SUM('DS1'!$A$30:$A$39)</f>
        <v>636000</v>
      </c>
      <c r="F163" s="20">
        <v>-66613.3</v>
      </c>
      <c r="G163" s="20">
        <v>569386.7000000001</v>
      </c>
      <c r="H163" s="20">
        <v>477087.97</v>
      </c>
      <c r="I163" s="21">
        <v>477087.97</v>
      </c>
      <c r="J163" s="21"/>
      <c r="K163" s="21">
        <v>470851.52</v>
      </c>
      <c r="L163" s="21"/>
      <c r="M163" s="20">
        <v>470851.52</v>
      </c>
      <c r="N163" s="20">
        <v>466025.97</v>
      </c>
      <c r="O163" s="20">
        <v>84612.87</v>
      </c>
      <c r="P163" s="22">
        <v>14.860352375635044</v>
      </c>
      <c r="Q163" s="22">
        <v>82.69450621168355</v>
      </c>
    </row>
    <row r="164" spans="1:17" ht="12.75" customHeight="1">
      <c r="A164" s="23"/>
      <c r="B164" s="24"/>
      <c r="C164" s="24"/>
      <c r="D164" s="24"/>
      <c r="E164" s="23"/>
      <c r="F164" s="20">
        <v>31386.7</v>
      </c>
      <c r="G164" s="20">
        <v>7685.86</v>
      </c>
      <c r="H164" s="20">
        <v>0</v>
      </c>
      <c r="I164" s="21">
        <v>6236.450000000001</v>
      </c>
      <c r="J164" s="21"/>
      <c r="K164" s="21">
        <v>0</v>
      </c>
      <c r="L164" s="21"/>
      <c r="M164" s="20">
        <v>4825.549999999999</v>
      </c>
      <c r="N164" s="20">
        <v>0</v>
      </c>
      <c r="O164" s="20">
        <v>98535.18</v>
      </c>
      <c r="P164" s="22">
        <v>83.78979874310374</v>
      </c>
      <c r="Q164" s="22">
        <v>98.97514401142847</v>
      </c>
    </row>
    <row r="165" spans="1:17" ht="18" customHeight="1">
      <c r="A165" s="23"/>
      <c r="B165" s="24"/>
      <c r="C165" s="24"/>
      <c r="D165" s="24"/>
      <c r="E165" s="23"/>
      <c r="F165" s="23"/>
      <c r="G165" s="23"/>
      <c r="H165" s="23"/>
      <c r="I165" s="24"/>
      <c r="J165" s="24"/>
      <c r="K165" s="24"/>
      <c r="L165" s="24"/>
      <c r="M165" s="23"/>
      <c r="N165" s="23"/>
      <c r="O165" s="23"/>
      <c r="P165" s="23"/>
      <c r="Q165" s="23"/>
    </row>
    <row r="166" spans="1:17" ht="12.75" customHeight="1">
      <c r="A166" s="10"/>
      <c r="B166" s="11" t="s">
        <v>136</v>
      </c>
      <c r="C166" s="11"/>
      <c r="D166" s="11"/>
      <c r="E166" s="12">
        <f>ROUND(455924.41,2)</f>
        <v>455924.41</v>
      </c>
      <c r="F166" s="12">
        <f aca="true" t="shared" si="84" ref="F166:F167">ROUND(0,2)</f>
        <v>0</v>
      </c>
      <c r="G166" s="12">
        <f>ROUND(455924.41,2)</f>
        <v>455924.41</v>
      </c>
      <c r="H166" s="12">
        <f>ROUND(455144.63,2)</f>
        <v>455144.63</v>
      </c>
      <c r="I166" s="13">
        <f>ROUND(455144.63,2)</f>
        <v>455144.63</v>
      </c>
      <c r="J166" s="13"/>
      <c r="K166" s="13">
        <f>ROUND(455144.63,2)</f>
        <v>455144.63</v>
      </c>
      <c r="L166" s="13"/>
      <c r="M166" s="12">
        <f>ROUND(455144.63,2)</f>
        <v>455144.63</v>
      </c>
      <c r="N166" s="12">
        <f>ROUND(455144.63,2)</f>
        <v>455144.63</v>
      </c>
      <c r="O166" s="12">
        <f>ROUND(779.78,2)</f>
        <v>779.78</v>
      </c>
      <c r="P166" s="14">
        <v>0.17103273764175073</v>
      </c>
      <c r="Q166" s="14">
        <v>99.82896726235826</v>
      </c>
    </row>
    <row r="167" spans="1:17" ht="12.75" customHeight="1">
      <c r="A167" s="15" t="s">
        <v>137</v>
      </c>
      <c r="B167" s="15"/>
      <c r="C167" s="15"/>
      <c r="D167" s="15"/>
      <c r="E167" s="16" t="s">
        <v>138</v>
      </c>
      <c r="F167" s="17">
        <f t="shared" si="84"/>
        <v>0</v>
      </c>
      <c r="G167" s="17">
        <f>ROUND(0,2)</f>
        <v>0</v>
      </c>
      <c r="H167" s="17">
        <f>ROUND(0,2)</f>
        <v>0</v>
      </c>
      <c r="I167" s="17">
        <f>ROUND(0,2)</f>
        <v>0</v>
      </c>
      <c r="J167" s="17"/>
      <c r="K167" s="17">
        <f>ROUND(0,2)</f>
        <v>0</v>
      </c>
      <c r="L167" s="17"/>
      <c r="M167" s="17">
        <f>ROUND(0,2)</f>
        <v>0</v>
      </c>
      <c r="N167" s="17">
        <f>ROUND(0,2)</f>
        <v>0</v>
      </c>
      <c r="O167" s="17">
        <f>ROUND(779.77999999997,2)</f>
        <v>779.78</v>
      </c>
      <c r="P167" s="18">
        <v>99.82896726235826</v>
      </c>
      <c r="Q167" s="18">
        <v>100</v>
      </c>
    </row>
    <row r="168" spans="1:17" ht="12.75" customHeight="1">
      <c r="A168" s="19" t="s">
        <v>139</v>
      </c>
      <c r="B168" s="19"/>
      <c r="C168" s="19"/>
      <c r="D168" s="19"/>
      <c r="E168" s="20">
        <f>SUM('DS1'!$A$40)</f>
        <v>455924.41</v>
      </c>
      <c r="F168" s="20">
        <v>0</v>
      </c>
      <c r="G168" s="20">
        <v>455924.41</v>
      </c>
      <c r="H168" s="20">
        <v>455144.63</v>
      </c>
      <c r="I168" s="21">
        <v>455144.63</v>
      </c>
      <c r="J168" s="21"/>
      <c r="K168" s="21">
        <v>455144.63</v>
      </c>
      <c r="L168" s="21"/>
      <c r="M168" s="20">
        <v>455144.63</v>
      </c>
      <c r="N168" s="20">
        <v>455144.63</v>
      </c>
      <c r="O168" s="20">
        <v>779.78</v>
      </c>
      <c r="P168" s="22">
        <v>0.17103273764175073</v>
      </c>
      <c r="Q168" s="22">
        <v>99.82896726235826</v>
      </c>
    </row>
    <row r="169" spans="1:17" ht="12.75" customHeight="1">
      <c r="A169" s="23"/>
      <c r="B169" s="24"/>
      <c r="C169" s="24"/>
      <c r="D169" s="24"/>
      <c r="E169" s="23"/>
      <c r="F169" s="20">
        <v>0</v>
      </c>
      <c r="G169" s="20">
        <v>0</v>
      </c>
      <c r="H169" s="20">
        <v>0</v>
      </c>
      <c r="I169" s="21">
        <v>0</v>
      </c>
      <c r="J169" s="21"/>
      <c r="K169" s="21">
        <v>0</v>
      </c>
      <c r="L169" s="21"/>
      <c r="M169" s="20">
        <v>0</v>
      </c>
      <c r="N169" s="20">
        <v>0</v>
      </c>
      <c r="O169" s="20">
        <v>779.7799999999697</v>
      </c>
      <c r="P169" s="22">
        <v>99.82896726235826</v>
      </c>
      <c r="Q169" s="22">
        <v>100</v>
      </c>
    </row>
    <row r="170" spans="1:17" ht="20.25" customHeight="1">
      <c r="A170" s="23"/>
      <c r="B170" s="24"/>
      <c r="C170" s="24"/>
      <c r="D170" s="24"/>
      <c r="E170" s="23"/>
      <c r="F170" s="23"/>
      <c r="G170" s="23"/>
      <c r="H170" s="23"/>
      <c r="I170" s="24"/>
      <c r="J170" s="24"/>
      <c r="K170" s="24"/>
      <c r="L170" s="24"/>
      <c r="M170" s="23"/>
      <c r="N170" s="23"/>
      <c r="O170" s="23"/>
      <c r="P170" s="23"/>
      <c r="Q170" s="23"/>
    </row>
    <row r="171" spans="1:17" ht="12.75" customHeight="1">
      <c r="A171" s="19" t="s">
        <v>140</v>
      </c>
      <c r="B171" s="19"/>
      <c r="C171" s="19"/>
      <c r="D171" s="19"/>
      <c r="E171" s="20">
        <f>SUM('DS1'!$A$40)</f>
        <v>455924.41</v>
      </c>
      <c r="F171" s="20">
        <v>0</v>
      </c>
      <c r="G171" s="20">
        <v>455924.41</v>
      </c>
      <c r="H171" s="20">
        <v>455144.63</v>
      </c>
      <c r="I171" s="21">
        <v>455144.63</v>
      </c>
      <c r="J171" s="21"/>
      <c r="K171" s="21">
        <v>455144.63</v>
      </c>
      <c r="L171" s="21"/>
      <c r="M171" s="20">
        <v>455144.63</v>
      </c>
      <c r="N171" s="20">
        <v>455144.63</v>
      </c>
      <c r="O171" s="20">
        <v>779.78</v>
      </c>
      <c r="P171" s="22">
        <v>0.17103273764175073</v>
      </c>
      <c r="Q171" s="22">
        <v>99.82896726235826</v>
      </c>
    </row>
    <row r="172" spans="1:17" ht="12.75" customHeight="1">
      <c r="A172" s="23"/>
      <c r="B172" s="24"/>
      <c r="C172" s="24"/>
      <c r="D172" s="24"/>
      <c r="E172" s="23"/>
      <c r="F172" s="20">
        <v>0</v>
      </c>
      <c r="G172" s="20">
        <v>0</v>
      </c>
      <c r="H172" s="20">
        <v>0</v>
      </c>
      <c r="I172" s="21">
        <v>0</v>
      </c>
      <c r="J172" s="21"/>
      <c r="K172" s="21">
        <v>0</v>
      </c>
      <c r="L172" s="21"/>
      <c r="M172" s="20">
        <v>0</v>
      </c>
      <c r="N172" s="20">
        <v>0</v>
      </c>
      <c r="O172" s="20">
        <v>779.7799999999697</v>
      </c>
      <c r="P172" s="22">
        <v>99.82896726235826</v>
      </c>
      <c r="Q172" s="22">
        <v>100</v>
      </c>
    </row>
    <row r="173" spans="1:17" ht="18" customHeight="1">
      <c r="A173" s="23"/>
      <c r="B173" s="24"/>
      <c r="C173" s="24"/>
      <c r="D173" s="24"/>
      <c r="E173" s="23"/>
      <c r="F173" s="23"/>
      <c r="G173" s="23"/>
      <c r="H173" s="23"/>
      <c r="I173" s="24"/>
      <c r="J173" s="24"/>
      <c r="K173" s="24"/>
      <c r="L173" s="24"/>
      <c r="M173" s="23"/>
      <c r="N173" s="23"/>
      <c r="O173" s="23"/>
      <c r="P173" s="23"/>
      <c r="Q173" s="23"/>
    </row>
    <row r="174" spans="1:17" ht="12.75" customHeight="1">
      <c r="A174" s="10"/>
      <c r="B174" s="11" t="s">
        <v>141</v>
      </c>
      <c r="C174" s="11"/>
      <c r="D174" s="11"/>
      <c r="E174" s="12">
        <f>ROUND(41748.06,2)</f>
        <v>41748.06</v>
      </c>
      <c r="F174" s="12">
        <f>ROUND(375.73,2)</f>
        <v>375.73</v>
      </c>
      <c r="G174" s="12">
        <f>ROUND(42123.79,2)</f>
        <v>42123.79</v>
      </c>
      <c r="H174" s="12">
        <f>ROUND(31648.63,2)</f>
        <v>31648.63</v>
      </c>
      <c r="I174" s="13">
        <f>ROUND(31648.63,2)</f>
        <v>31648.63</v>
      </c>
      <c r="J174" s="13"/>
      <c r="K174" s="13">
        <f>ROUND(31648.63,2)</f>
        <v>31648.63</v>
      </c>
      <c r="L174" s="13"/>
      <c r="M174" s="12">
        <f>ROUND(31648.63,2)</f>
        <v>31648.63</v>
      </c>
      <c r="N174" s="12">
        <f>ROUND(31648.63,2)</f>
        <v>31648.63</v>
      </c>
      <c r="O174" s="12">
        <f aca="true" t="shared" si="85" ref="O174:O175">ROUND(10475.16,2)</f>
        <v>10475.16</v>
      </c>
      <c r="P174" s="14">
        <v>24.86756296145242</v>
      </c>
      <c r="Q174" s="14">
        <v>75.13243703854758</v>
      </c>
    </row>
    <row r="175" spans="1:17" ht="12.75" customHeight="1">
      <c r="A175" s="15" t="s">
        <v>142</v>
      </c>
      <c r="B175" s="15"/>
      <c r="C175" s="15"/>
      <c r="D175" s="15"/>
      <c r="E175" s="16" t="s">
        <v>41</v>
      </c>
      <c r="F175" s="17">
        <f>ROUND(0,2)</f>
        <v>0</v>
      </c>
      <c r="G175" s="17">
        <f>ROUND(0,2)</f>
        <v>0</v>
      </c>
      <c r="H175" s="17">
        <f>ROUND(0,2)</f>
        <v>0</v>
      </c>
      <c r="I175" s="17">
        <f>ROUND(0,2)</f>
        <v>0</v>
      </c>
      <c r="J175" s="17"/>
      <c r="K175" s="17">
        <f>ROUND(0,2)</f>
        <v>0</v>
      </c>
      <c r="L175" s="17"/>
      <c r="M175" s="17">
        <f>ROUND(0,2)</f>
        <v>0</v>
      </c>
      <c r="N175" s="17">
        <f>ROUND(0,2)</f>
        <v>0</v>
      </c>
      <c r="O175" s="17">
        <f t="shared" si="85"/>
        <v>10475.16</v>
      </c>
      <c r="P175" s="18">
        <v>75.13243703854758</v>
      </c>
      <c r="Q175" s="18">
        <v>100</v>
      </c>
    </row>
    <row r="176" spans="1:17" ht="12.75" customHeight="1">
      <c r="A176" s="10"/>
      <c r="B176" s="11" t="s">
        <v>143</v>
      </c>
      <c r="C176" s="11"/>
      <c r="D176" s="11"/>
      <c r="E176" s="12">
        <f>ROUND(45465.3,2)</f>
        <v>45465.3</v>
      </c>
      <c r="F176" s="12">
        <f>ROUND(409.19,2)</f>
        <v>409.19</v>
      </c>
      <c r="G176" s="12">
        <f>ROUND(45874.49,2)</f>
        <v>45874.49</v>
      </c>
      <c r="H176" s="12">
        <f>ROUND(35582.44,2)</f>
        <v>35582.44</v>
      </c>
      <c r="I176" s="13">
        <f>ROUND(35582.44,2)</f>
        <v>35582.44</v>
      </c>
      <c r="J176" s="13"/>
      <c r="K176" s="13">
        <f>ROUND(35582.44,2)</f>
        <v>35582.44</v>
      </c>
      <c r="L176" s="13"/>
      <c r="M176" s="12">
        <f>ROUND(35582.44,2)</f>
        <v>35582.44</v>
      </c>
      <c r="N176" s="12">
        <f>ROUND(35582.44,2)</f>
        <v>35582.44</v>
      </c>
      <c r="O176" s="12">
        <f>ROUND(10292.05,2)</f>
        <v>10292.05</v>
      </c>
      <c r="P176" s="14">
        <v>22.435235792267115</v>
      </c>
      <c r="Q176" s="14">
        <v>77.56476420773288</v>
      </c>
    </row>
    <row r="177" spans="1:17" ht="12.75" customHeight="1">
      <c r="A177" s="15" t="s">
        <v>144</v>
      </c>
      <c r="B177" s="15"/>
      <c r="C177" s="15"/>
      <c r="D177" s="15"/>
      <c r="E177" s="16" t="s">
        <v>41</v>
      </c>
      <c r="F177" s="17">
        <f>ROUND(0,2)</f>
        <v>0</v>
      </c>
      <c r="G177" s="17">
        <f>ROUND(0,2)</f>
        <v>0</v>
      </c>
      <c r="H177" s="17">
        <f>ROUND(0,2)</f>
        <v>0</v>
      </c>
      <c r="I177" s="17">
        <f>ROUND(0,2)</f>
        <v>0</v>
      </c>
      <c r="J177" s="17"/>
      <c r="K177" s="17">
        <f>ROUND(0,2)</f>
        <v>0</v>
      </c>
      <c r="L177" s="17"/>
      <c r="M177" s="17">
        <f>ROUND(0,2)</f>
        <v>0</v>
      </c>
      <c r="N177" s="17">
        <f>ROUND(0,2)</f>
        <v>0</v>
      </c>
      <c r="O177" s="17">
        <f>ROUND(10292.05,2)</f>
        <v>10292.05</v>
      </c>
      <c r="P177" s="18">
        <v>77.56476420773288</v>
      </c>
      <c r="Q177" s="18">
        <v>100</v>
      </c>
    </row>
    <row r="178" spans="1:17" ht="12.75" customHeight="1">
      <c r="A178" s="10"/>
      <c r="B178" s="11" t="s">
        <v>145</v>
      </c>
      <c r="C178" s="11"/>
      <c r="D178" s="11"/>
      <c r="E178" s="12">
        <f>ROUND(10727.78,2)</f>
        <v>10727.78</v>
      </c>
      <c r="F178" s="12">
        <f>ROUND(96.55,2)</f>
        <v>96.55</v>
      </c>
      <c r="G178" s="12">
        <f>ROUND(10824.33,2)</f>
        <v>10824.33</v>
      </c>
      <c r="H178" s="12">
        <f>ROUND(7438.28,2)</f>
        <v>7438.28</v>
      </c>
      <c r="I178" s="13">
        <f>ROUND(7438.28,2)</f>
        <v>7438.28</v>
      </c>
      <c r="J178" s="13"/>
      <c r="K178" s="13">
        <f>ROUND(7438.28,2)</f>
        <v>7438.28</v>
      </c>
      <c r="L178" s="13"/>
      <c r="M178" s="12">
        <f>ROUND(7438.28,2)</f>
        <v>7438.28</v>
      </c>
      <c r="N178" s="12">
        <f>ROUND(7438.28,2)</f>
        <v>7438.28</v>
      </c>
      <c r="O178" s="12">
        <f aca="true" t="shared" si="86" ref="O178:O179">ROUND(3386.05,2)</f>
        <v>3386.05</v>
      </c>
      <c r="P178" s="14">
        <v>31.281843772316627</v>
      </c>
      <c r="Q178" s="14">
        <v>68.71815622768337</v>
      </c>
    </row>
    <row r="179" spans="1:17" ht="12.75" customHeight="1">
      <c r="A179" s="15" t="s">
        <v>146</v>
      </c>
      <c r="B179" s="15"/>
      <c r="C179" s="15"/>
      <c r="D179" s="15"/>
      <c r="E179" s="16" t="s">
        <v>41</v>
      </c>
      <c r="F179" s="17">
        <f>ROUND(0,2)</f>
        <v>0</v>
      </c>
      <c r="G179" s="17">
        <f>ROUND(0,2)</f>
        <v>0</v>
      </c>
      <c r="H179" s="17">
        <f>ROUND(0,2)</f>
        <v>0</v>
      </c>
      <c r="I179" s="17">
        <f>ROUND(0,2)</f>
        <v>0</v>
      </c>
      <c r="J179" s="17"/>
      <c r="K179" s="17">
        <f>ROUND(0,2)</f>
        <v>0</v>
      </c>
      <c r="L179" s="17"/>
      <c r="M179" s="17">
        <f>ROUND(0,2)</f>
        <v>0</v>
      </c>
      <c r="N179" s="17">
        <f>ROUND(0,2)</f>
        <v>0</v>
      </c>
      <c r="O179" s="17">
        <f t="shared" si="86"/>
        <v>3386.05</v>
      </c>
      <c r="P179" s="18">
        <v>68.71815622768337</v>
      </c>
      <c r="Q179" s="18">
        <v>100</v>
      </c>
    </row>
    <row r="180" spans="1:17" ht="12.75" customHeight="1">
      <c r="A180" s="10"/>
      <c r="B180" s="11" t="s">
        <v>147</v>
      </c>
      <c r="C180" s="11"/>
      <c r="D180" s="11"/>
      <c r="E180" s="12">
        <f>ROUND(84041.64,2)</f>
        <v>84041.64</v>
      </c>
      <c r="F180" s="12">
        <f>ROUND(756.37,2)</f>
        <v>756.37</v>
      </c>
      <c r="G180" s="12">
        <f>ROUND(84798.01,2)</f>
        <v>84798.01</v>
      </c>
      <c r="H180" s="12">
        <f>ROUND(73912.05,2)</f>
        <v>73912.05</v>
      </c>
      <c r="I180" s="13">
        <f>ROUND(73912.05,2)</f>
        <v>73912.05</v>
      </c>
      <c r="J180" s="13"/>
      <c r="K180" s="13">
        <f>ROUND(73912.05,2)</f>
        <v>73912.05</v>
      </c>
      <c r="L180" s="13"/>
      <c r="M180" s="12">
        <f>ROUND(73912.05,2)</f>
        <v>73912.05</v>
      </c>
      <c r="N180" s="12">
        <f>ROUND(73912.05,2)</f>
        <v>73912.05</v>
      </c>
      <c r="O180" s="12">
        <f>ROUND(10885.96,2)</f>
        <v>10885.96</v>
      </c>
      <c r="P180" s="14">
        <v>12.83751823893037</v>
      </c>
      <c r="Q180" s="14">
        <v>87.16248176106963</v>
      </c>
    </row>
    <row r="181" spans="1:17" ht="12.75" customHeight="1">
      <c r="A181" s="15" t="s">
        <v>148</v>
      </c>
      <c r="B181" s="15"/>
      <c r="C181" s="15"/>
      <c r="D181" s="15"/>
      <c r="E181" s="16" t="s">
        <v>41</v>
      </c>
      <c r="F181" s="17">
        <f>ROUND(0,2)</f>
        <v>0</v>
      </c>
      <c r="G181" s="17">
        <f>ROUND(0,2)</f>
        <v>0</v>
      </c>
      <c r="H181" s="17">
        <f>ROUND(0,2)</f>
        <v>0</v>
      </c>
      <c r="I181" s="17">
        <f>ROUND(0,2)</f>
        <v>0</v>
      </c>
      <c r="J181" s="17"/>
      <c r="K181" s="17">
        <f>ROUND(0,2)</f>
        <v>0</v>
      </c>
      <c r="L181" s="17"/>
      <c r="M181" s="17">
        <f>ROUND(0,2)</f>
        <v>0</v>
      </c>
      <c r="N181" s="17">
        <f>ROUND(0,2)</f>
        <v>0</v>
      </c>
      <c r="O181" s="17">
        <f>ROUND(10885.96,2)</f>
        <v>10885.96</v>
      </c>
      <c r="P181" s="18">
        <v>87.16248176106963</v>
      </c>
      <c r="Q181" s="18">
        <v>100</v>
      </c>
    </row>
    <row r="182" spans="1:17" ht="12.75" customHeight="1">
      <c r="A182" s="10"/>
      <c r="B182" s="11" t="s">
        <v>149</v>
      </c>
      <c r="C182" s="11"/>
      <c r="D182" s="11"/>
      <c r="E182" s="12">
        <f>ROUND(79644.5,2)</f>
        <v>79644.5</v>
      </c>
      <c r="F182" s="12">
        <f>ROUND(716.8,2)</f>
        <v>716.8</v>
      </c>
      <c r="G182" s="12">
        <f>ROUND(80361.3,2)</f>
        <v>80361.3</v>
      </c>
      <c r="H182" s="12">
        <f>ROUND(33405.43,2)</f>
        <v>33405.43</v>
      </c>
      <c r="I182" s="13">
        <f>ROUND(33405.43,2)</f>
        <v>33405.43</v>
      </c>
      <c r="J182" s="13"/>
      <c r="K182" s="13">
        <f>ROUND(33405.43,2)</f>
        <v>33405.43</v>
      </c>
      <c r="L182" s="13"/>
      <c r="M182" s="12">
        <f>ROUND(33405.43,2)</f>
        <v>33405.43</v>
      </c>
      <c r="N182" s="12">
        <f>ROUND(33405.43,2)</f>
        <v>33405.43</v>
      </c>
      <c r="O182" s="12">
        <f aca="true" t="shared" si="87" ref="O182:O183">ROUND(46955.87,2)</f>
        <v>46955.87</v>
      </c>
      <c r="P182" s="14">
        <v>58.430948727808044</v>
      </c>
      <c r="Q182" s="14">
        <v>41.569051272191956</v>
      </c>
    </row>
    <row r="183" spans="1:17" ht="12.75" customHeight="1">
      <c r="A183" s="15" t="s">
        <v>150</v>
      </c>
      <c r="B183" s="15"/>
      <c r="C183" s="15"/>
      <c r="D183" s="15"/>
      <c r="E183" s="16" t="s">
        <v>41</v>
      </c>
      <c r="F183" s="17">
        <f>ROUND(0,2)</f>
        <v>0</v>
      </c>
      <c r="G183" s="17">
        <f>ROUND(0,2)</f>
        <v>0</v>
      </c>
      <c r="H183" s="17">
        <f>ROUND(0,2)</f>
        <v>0</v>
      </c>
      <c r="I183" s="17">
        <f>ROUND(0,2)</f>
        <v>0</v>
      </c>
      <c r="J183" s="17"/>
      <c r="K183" s="17">
        <f>ROUND(0,2)</f>
        <v>0</v>
      </c>
      <c r="L183" s="17"/>
      <c r="M183" s="17">
        <f>ROUND(0,2)</f>
        <v>0</v>
      </c>
      <c r="N183" s="17">
        <f>ROUND(0,2)</f>
        <v>0</v>
      </c>
      <c r="O183" s="17">
        <f t="shared" si="87"/>
        <v>46955.87</v>
      </c>
      <c r="P183" s="18">
        <v>41.569051272191956</v>
      </c>
      <c r="Q183" s="18">
        <v>100</v>
      </c>
    </row>
    <row r="184" spans="1:17" ht="12.75" customHeight="1">
      <c r="A184" s="19" t="s">
        <v>48</v>
      </c>
      <c r="B184" s="19"/>
      <c r="C184" s="19"/>
      <c r="D184" s="19"/>
      <c r="E184" s="20">
        <f>SUM('DS1'!$A$41:$A$45)</f>
        <v>261627.28</v>
      </c>
      <c r="F184" s="20">
        <v>2354.6400000000003</v>
      </c>
      <c r="G184" s="20">
        <v>263981.92</v>
      </c>
      <c r="H184" s="20">
        <v>181986.83</v>
      </c>
      <c r="I184" s="21">
        <v>181986.83</v>
      </c>
      <c r="J184" s="21"/>
      <c r="K184" s="21">
        <v>181986.83</v>
      </c>
      <c r="L184" s="21"/>
      <c r="M184" s="20">
        <v>181986.83</v>
      </c>
      <c r="N184" s="20">
        <v>181986.83</v>
      </c>
      <c r="O184" s="20">
        <v>81995.09</v>
      </c>
      <c r="P184" s="22">
        <v>31.060873411330597</v>
      </c>
      <c r="Q184" s="22">
        <v>68.93912658866941</v>
      </c>
    </row>
    <row r="185" spans="1:17" ht="12.75" customHeight="1">
      <c r="A185" s="23"/>
      <c r="B185" s="24"/>
      <c r="C185" s="24"/>
      <c r="D185" s="24"/>
      <c r="E185" s="23"/>
      <c r="F185" s="20">
        <v>0</v>
      </c>
      <c r="G185" s="20">
        <v>0</v>
      </c>
      <c r="H185" s="20">
        <v>0</v>
      </c>
      <c r="I185" s="21">
        <v>0</v>
      </c>
      <c r="J185" s="21"/>
      <c r="K185" s="21">
        <v>0</v>
      </c>
      <c r="L185" s="21"/>
      <c r="M185" s="20">
        <v>0</v>
      </c>
      <c r="N185" s="20">
        <v>0</v>
      </c>
      <c r="O185" s="20">
        <v>81995.09</v>
      </c>
      <c r="P185" s="22">
        <v>68.93912658866941</v>
      </c>
      <c r="Q185" s="22">
        <v>100</v>
      </c>
    </row>
    <row r="186" spans="1:17" ht="20.25" customHeight="1">
      <c r="A186" s="23"/>
      <c r="B186" s="24"/>
      <c r="C186" s="24"/>
      <c r="D186" s="24"/>
      <c r="E186" s="23"/>
      <c r="F186" s="23"/>
      <c r="G186" s="23"/>
      <c r="H186" s="23"/>
      <c r="I186" s="24"/>
      <c r="J186" s="24"/>
      <c r="K186" s="24"/>
      <c r="L186" s="24"/>
      <c r="M186" s="23"/>
      <c r="N186" s="23"/>
      <c r="O186" s="23"/>
      <c r="P186" s="23"/>
      <c r="Q186" s="23"/>
    </row>
    <row r="187" spans="1:17" ht="12.75" customHeight="1">
      <c r="A187" s="10"/>
      <c r="B187" s="11" t="s">
        <v>151</v>
      </c>
      <c r="C187" s="11"/>
      <c r="D187" s="11"/>
      <c r="E187" s="12">
        <f>ROUND(128476.04,2)</f>
        <v>128476.04</v>
      </c>
      <c r="F187" s="12">
        <f>ROUND(1156.28,2)</f>
        <v>1156.28</v>
      </c>
      <c r="G187" s="12">
        <f>ROUND(129632.32,2)</f>
        <v>129632.32</v>
      </c>
      <c r="H187" s="12">
        <f>ROUND(87508.97,2)</f>
        <v>87508.97</v>
      </c>
      <c r="I187" s="13">
        <f>ROUND(87508.97,2)</f>
        <v>87508.97</v>
      </c>
      <c r="J187" s="13"/>
      <c r="K187" s="13">
        <f>ROUND(87508.97,2)</f>
        <v>87508.97</v>
      </c>
      <c r="L187" s="13"/>
      <c r="M187" s="12">
        <f>ROUND(87508.97,2)</f>
        <v>87508.97</v>
      </c>
      <c r="N187" s="12">
        <f>ROUND(87508.97,2)</f>
        <v>87508.97</v>
      </c>
      <c r="O187" s="12">
        <f>ROUND(42123.35,2)</f>
        <v>42123.35</v>
      </c>
      <c r="P187" s="14">
        <v>32.49448131453638</v>
      </c>
      <c r="Q187" s="14">
        <v>67.50551868546363</v>
      </c>
    </row>
    <row r="188" spans="1:17" ht="12.75" customHeight="1">
      <c r="A188" s="15" t="s">
        <v>152</v>
      </c>
      <c r="B188" s="15"/>
      <c r="C188" s="15"/>
      <c r="D188" s="15"/>
      <c r="E188" s="16" t="s">
        <v>41</v>
      </c>
      <c r="F188" s="17">
        <f>ROUND(0,2)</f>
        <v>0</v>
      </c>
      <c r="G188" s="17">
        <f>ROUND(0,2)</f>
        <v>0</v>
      </c>
      <c r="H188" s="17">
        <f>ROUND(0,2)</f>
        <v>0</v>
      </c>
      <c r="I188" s="17">
        <f>ROUND(0,2)</f>
        <v>0</v>
      </c>
      <c r="J188" s="17"/>
      <c r="K188" s="17">
        <f>ROUND(0,2)</f>
        <v>0</v>
      </c>
      <c r="L188" s="17"/>
      <c r="M188" s="17">
        <f>ROUND(0,2)</f>
        <v>0</v>
      </c>
      <c r="N188" s="17">
        <f>ROUND(0,2)</f>
        <v>0</v>
      </c>
      <c r="O188" s="17">
        <f>ROUND(42123.35,2)</f>
        <v>42123.35</v>
      </c>
      <c r="P188" s="18">
        <v>67.50551868546363</v>
      </c>
      <c r="Q188" s="18">
        <v>100</v>
      </c>
    </row>
    <row r="189" spans="1:17" ht="12.75" customHeight="1">
      <c r="A189" s="10"/>
      <c r="B189" s="11" t="s">
        <v>153</v>
      </c>
      <c r="C189" s="11"/>
      <c r="D189" s="11"/>
      <c r="E189" s="12">
        <f>ROUND(275286.9,2)</f>
        <v>275286.9</v>
      </c>
      <c r="F189" s="12">
        <f>ROUND(2477.58,2)</f>
        <v>2477.58</v>
      </c>
      <c r="G189" s="12">
        <f>ROUND(277764.48,2)</f>
        <v>277764.48</v>
      </c>
      <c r="H189" s="12">
        <f>ROUND(206908.24,2)</f>
        <v>206908.24</v>
      </c>
      <c r="I189" s="13">
        <f>ROUND(206908.24,2)</f>
        <v>206908.24</v>
      </c>
      <c r="J189" s="13"/>
      <c r="K189" s="13">
        <f>ROUND(206908.24,2)</f>
        <v>206908.24</v>
      </c>
      <c r="L189" s="13"/>
      <c r="M189" s="12">
        <f>ROUND(206908.24,2)</f>
        <v>206908.24</v>
      </c>
      <c r="N189" s="12">
        <f>ROUND(206908.24,2)</f>
        <v>206908.24</v>
      </c>
      <c r="O189" s="12">
        <f>ROUND(70856.24,2)</f>
        <v>70856.24</v>
      </c>
      <c r="P189" s="14">
        <v>25.509467589232433</v>
      </c>
      <c r="Q189" s="14">
        <v>74.49053241076756</v>
      </c>
    </row>
    <row r="190" spans="1:17" ht="12.75" customHeight="1">
      <c r="A190" s="15" t="s">
        <v>154</v>
      </c>
      <c r="B190" s="15"/>
      <c r="C190" s="15"/>
      <c r="D190" s="15"/>
      <c r="E190" s="16" t="s">
        <v>41</v>
      </c>
      <c r="F190" s="17">
        <f>ROUND(0,2)</f>
        <v>0</v>
      </c>
      <c r="G190" s="17">
        <f>ROUND(0,2)</f>
        <v>0</v>
      </c>
      <c r="H190" s="17">
        <f>ROUND(0,2)</f>
        <v>0</v>
      </c>
      <c r="I190" s="17">
        <f>ROUND(0,2)</f>
        <v>0</v>
      </c>
      <c r="J190" s="17"/>
      <c r="K190" s="17">
        <f>ROUND(0,2)</f>
        <v>0</v>
      </c>
      <c r="L190" s="17"/>
      <c r="M190" s="17">
        <f>ROUND(0,2)</f>
        <v>0</v>
      </c>
      <c r="N190" s="17">
        <f>ROUND(0,2)</f>
        <v>0</v>
      </c>
      <c r="O190" s="17">
        <f>ROUND(70856.24,2)</f>
        <v>70856.24</v>
      </c>
      <c r="P190" s="18">
        <v>74.49053241076756</v>
      </c>
      <c r="Q190" s="18">
        <v>100</v>
      </c>
    </row>
    <row r="191" spans="1:17" ht="12.75" customHeight="1">
      <c r="A191" s="10"/>
      <c r="B191" s="11" t="s">
        <v>155</v>
      </c>
      <c r="C191" s="11"/>
      <c r="D191" s="11"/>
      <c r="E191" s="12">
        <f>ROUND(29838.6,2)</f>
        <v>29838.6</v>
      </c>
      <c r="F191" s="12">
        <f>ROUND(268.55,2)</f>
        <v>268.55</v>
      </c>
      <c r="G191" s="12">
        <f>ROUND(30107.15,2)</f>
        <v>30107.15</v>
      </c>
      <c r="H191" s="12">
        <f>ROUND(20402.69,2)</f>
        <v>20402.69</v>
      </c>
      <c r="I191" s="13">
        <f>ROUND(20402.69,2)</f>
        <v>20402.69</v>
      </c>
      <c r="J191" s="13"/>
      <c r="K191" s="13">
        <f>ROUND(20402.69,2)</f>
        <v>20402.69</v>
      </c>
      <c r="L191" s="13"/>
      <c r="M191" s="12">
        <f>ROUND(20402.69,2)</f>
        <v>20402.69</v>
      </c>
      <c r="N191" s="12">
        <f>ROUND(20402.69,2)</f>
        <v>20402.69</v>
      </c>
      <c r="O191" s="12">
        <f aca="true" t="shared" si="88" ref="O191:O192">ROUND(9704.46,2)</f>
        <v>9704.46</v>
      </c>
      <c r="P191" s="14">
        <v>32.233074203303865</v>
      </c>
      <c r="Q191" s="14">
        <v>67.76692579669613</v>
      </c>
    </row>
    <row r="192" spans="1:17" ht="12.75" customHeight="1">
      <c r="A192" s="15" t="s">
        <v>156</v>
      </c>
      <c r="B192" s="15"/>
      <c r="C192" s="15"/>
      <c r="D192" s="15"/>
      <c r="E192" s="16" t="s">
        <v>41</v>
      </c>
      <c r="F192" s="17">
        <f>ROUND(0,2)</f>
        <v>0</v>
      </c>
      <c r="G192" s="17">
        <f>ROUND(0,2)</f>
        <v>0</v>
      </c>
      <c r="H192" s="17">
        <f>ROUND(0,2)</f>
        <v>0</v>
      </c>
      <c r="I192" s="17">
        <f>ROUND(0,2)</f>
        <v>0</v>
      </c>
      <c r="J192" s="17"/>
      <c r="K192" s="17">
        <f>ROUND(0,2)</f>
        <v>0</v>
      </c>
      <c r="L192" s="17"/>
      <c r="M192" s="17">
        <f>ROUND(0,2)</f>
        <v>0</v>
      </c>
      <c r="N192" s="17">
        <f>ROUND(0,2)</f>
        <v>0</v>
      </c>
      <c r="O192" s="17">
        <f t="shared" si="88"/>
        <v>9704.46</v>
      </c>
      <c r="P192" s="18">
        <v>67.76692579669613</v>
      </c>
      <c r="Q192" s="18">
        <v>100</v>
      </c>
    </row>
    <row r="193" spans="1:17" ht="12.75" customHeight="1">
      <c r="A193" s="19" t="s">
        <v>57</v>
      </c>
      <c r="B193" s="19"/>
      <c r="C193" s="19"/>
      <c r="D193" s="19"/>
      <c r="E193" s="20">
        <f>SUM('DS1'!$A$46:$A$48)</f>
        <v>433601.54000000004</v>
      </c>
      <c r="F193" s="20">
        <v>3902.41</v>
      </c>
      <c r="G193" s="20">
        <v>437503.95000000007</v>
      </c>
      <c r="H193" s="20">
        <v>314819.9</v>
      </c>
      <c r="I193" s="21">
        <v>314819.9</v>
      </c>
      <c r="J193" s="21"/>
      <c r="K193" s="21">
        <v>314819.9</v>
      </c>
      <c r="L193" s="21"/>
      <c r="M193" s="20">
        <v>314819.9</v>
      </c>
      <c r="N193" s="20">
        <v>314819.9</v>
      </c>
      <c r="O193" s="20">
        <v>122684.05</v>
      </c>
      <c r="P193" s="22">
        <v>28.0418153938953</v>
      </c>
      <c r="Q193" s="22">
        <v>71.9581846061047</v>
      </c>
    </row>
    <row r="194" spans="1:17" ht="12.75" customHeight="1">
      <c r="A194" s="23"/>
      <c r="B194" s="24"/>
      <c r="C194" s="24"/>
      <c r="D194" s="24"/>
      <c r="E194" s="23"/>
      <c r="F194" s="20">
        <v>0</v>
      </c>
      <c r="G194" s="20">
        <v>0</v>
      </c>
      <c r="H194" s="20">
        <v>0</v>
      </c>
      <c r="I194" s="21">
        <v>0</v>
      </c>
      <c r="J194" s="21"/>
      <c r="K194" s="21">
        <v>0</v>
      </c>
      <c r="L194" s="21"/>
      <c r="M194" s="20">
        <v>0</v>
      </c>
      <c r="N194" s="20">
        <v>0</v>
      </c>
      <c r="O194" s="20">
        <v>122684.05000000005</v>
      </c>
      <c r="P194" s="22">
        <v>71.9581846061047</v>
      </c>
      <c r="Q194" s="22">
        <v>100</v>
      </c>
    </row>
    <row r="195" spans="1:17" ht="20.25" customHeight="1">
      <c r="A195" s="23"/>
      <c r="B195" s="24"/>
      <c r="C195" s="24"/>
      <c r="D195" s="24"/>
      <c r="E195" s="23"/>
      <c r="F195" s="23"/>
      <c r="G195" s="23"/>
      <c r="H195" s="23"/>
      <c r="I195" s="24"/>
      <c r="J195" s="24"/>
      <c r="K195" s="24"/>
      <c r="L195" s="24"/>
      <c r="M195" s="23"/>
      <c r="N195" s="23"/>
      <c r="O195" s="23"/>
      <c r="P195" s="23"/>
      <c r="Q195" s="23"/>
    </row>
    <row r="196" spans="1:17" ht="12.75" customHeight="1">
      <c r="A196" s="10"/>
      <c r="B196" s="11" t="s">
        <v>157</v>
      </c>
      <c r="C196" s="11"/>
      <c r="D196" s="11"/>
      <c r="E196" s="12">
        <f>ROUND(51147.32,2)</f>
        <v>51147.32</v>
      </c>
      <c r="F196" s="12">
        <f>ROUND(460.33,2)</f>
        <v>460.33</v>
      </c>
      <c r="G196" s="12">
        <f>ROUND(51607.65,2)</f>
        <v>51607.65</v>
      </c>
      <c r="H196" s="12">
        <f>ROUND(57540.76,2)</f>
        <v>57540.76</v>
      </c>
      <c r="I196" s="13">
        <f>ROUND(57540.76,2)</f>
        <v>57540.76</v>
      </c>
      <c r="J196" s="13"/>
      <c r="K196" s="13">
        <f>ROUND(57540.76,2)</f>
        <v>57540.76</v>
      </c>
      <c r="L196" s="13"/>
      <c r="M196" s="12">
        <f>ROUND(57540.76,2)</f>
        <v>57540.76</v>
      </c>
      <c r="N196" s="12">
        <f>ROUND(57540.76,2)</f>
        <v>57540.76</v>
      </c>
      <c r="O196" s="12">
        <f>ROUND(-5933.11,2)</f>
        <v>-5933.11</v>
      </c>
      <c r="P196" s="14">
        <v>-11.496570760342701</v>
      </c>
      <c r="Q196" s="14">
        <v>111.49657076034269</v>
      </c>
    </row>
    <row r="197" spans="1:17" ht="12.75" customHeight="1">
      <c r="A197" s="15" t="s">
        <v>158</v>
      </c>
      <c r="B197" s="15"/>
      <c r="C197" s="15"/>
      <c r="D197" s="15"/>
      <c r="E197" s="16" t="s">
        <v>41</v>
      </c>
      <c r="F197" s="17">
        <f aca="true" t="shared" si="89" ref="F197:F199">ROUND(0,2)</f>
        <v>0</v>
      </c>
      <c r="G197" s="17">
        <f>ROUND(0,2)</f>
        <v>0</v>
      </c>
      <c r="H197" s="17">
        <f aca="true" t="shared" si="90" ref="H197:H199">ROUND(0,2)</f>
        <v>0</v>
      </c>
      <c r="I197" s="17">
        <f aca="true" t="shared" si="91" ref="I197:I199">ROUND(0,2)</f>
        <v>0</v>
      </c>
      <c r="J197" s="17"/>
      <c r="K197" s="17">
        <f aca="true" t="shared" si="92" ref="K197:K199">ROUND(0,2)</f>
        <v>0</v>
      </c>
      <c r="L197" s="17"/>
      <c r="M197" s="17">
        <f aca="true" t="shared" si="93" ref="M197:M199">ROUND(0,2)</f>
        <v>0</v>
      </c>
      <c r="N197" s="17">
        <f aca="true" t="shared" si="94" ref="N197:N199">ROUND(0,2)</f>
        <v>0</v>
      </c>
      <c r="O197" s="17">
        <f>ROUND(-5933.11,2)</f>
        <v>-5933.11</v>
      </c>
      <c r="P197" s="18">
        <v>111.49657076034269</v>
      </c>
      <c r="Q197" s="18">
        <v>100</v>
      </c>
    </row>
    <row r="198" spans="1:17" ht="12.75" customHeight="1">
      <c r="A198" s="10"/>
      <c r="B198" s="11" t="s">
        <v>159</v>
      </c>
      <c r="C198" s="11"/>
      <c r="D198" s="11"/>
      <c r="E198" s="12">
        <f>ROUND(6436.5,2)</f>
        <v>6436.5</v>
      </c>
      <c r="F198" s="12">
        <f t="shared" si="89"/>
        <v>0</v>
      </c>
      <c r="G198" s="12">
        <f>ROUND(6436.5,2)</f>
        <v>6436.5</v>
      </c>
      <c r="H198" s="12">
        <f t="shared" si="90"/>
        <v>0</v>
      </c>
      <c r="I198" s="13">
        <f t="shared" si="91"/>
        <v>0</v>
      </c>
      <c r="J198" s="13"/>
      <c r="K198" s="13">
        <f t="shared" si="92"/>
        <v>0</v>
      </c>
      <c r="L198" s="13"/>
      <c r="M198" s="12">
        <f t="shared" si="93"/>
        <v>0</v>
      </c>
      <c r="N198" s="12">
        <f t="shared" si="94"/>
        <v>0</v>
      </c>
      <c r="O198" s="12">
        <f aca="true" t="shared" si="95" ref="O198:O199">ROUND(6436.5,2)</f>
        <v>6436.5</v>
      </c>
      <c r="P198" s="14">
        <v>100</v>
      </c>
      <c r="Q198" s="14">
        <v>0</v>
      </c>
    </row>
    <row r="199" spans="1:17" ht="12.75" customHeight="1">
      <c r="A199" s="15" t="s">
        <v>160</v>
      </c>
      <c r="B199" s="15"/>
      <c r="C199" s="15"/>
      <c r="D199" s="15"/>
      <c r="E199" s="16" t="s">
        <v>41</v>
      </c>
      <c r="F199" s="17">
        <f t="shared" si="89"/>
        <v>0</v>
      </c>
      <c r="G199" s="17">
        <f>ROUND(0,2)</f>
        <v>0</v>
      </c>
      <c r="H199" s="17">
        <f t="shared" si="90"/>
        <v>0</v>
      </c>
      <c r="I199" s="17">
        <f t="shared" si="91"/>
        <v>0</v>
      </c>
      <c r="J199" s="17"/>
      <c r="K199" s="17">
        <f t="shared" si="92"/>
        <v>0</v>
      </c>
      <c r="L199" s="17"/>
      <c r="M199" s="17">
        <f t="shared" si="93"/>
        <v>0</v>
      </c>
      <c r="N199" s="17">
        <f t="shared" si="94"/>
        <v>0</v>
      </c>
      <c r="O199" s="17">
        <f t="shared" si="95"/>
        <v>6436.5</v>
      </c>
      <c r="P199" s="18">
        <v>0</v>
      </c>
      <c r="Q199" s="18">
        <v>0</v>
      </c>
    </row>
    <row r="200" spans="1:17" ht="12.75" customHeight="1">
      <c r="A200" s="19" t="s">
        <v>161</v>
      </c>
      <c r="B200" s="19"/>
      <c r="C200" s="19"/>
      <c r="D200" s="19"/>
      <c r="E200" s="20">
        <f>SUM('DS1'!$A$49:$A$50)</f>
        <v>57583.82</v>
      </c>
      <c r="F200" s="20">
        <v>460.33</v>
      </c>
      <c r="G200" s="20">
        <v>58044.15</v>
      </c>
      <c r="H200" s="20">
        <v>57540.76</v>
      </c>
      <c r="I200" s="21">
        <v>57540.76</v>
      </c>
      <c r="J200" s="21"/>
      <c r="K200" s="21">
        <v>57540.76</v>
      </c>
      <c r="L200" s="21"/>
      <c r="M200" s="20">
        <v>57540.76</v>
      </c>
      <c r="N200" s="20">
        <v>57540.76</v>
      </c>
      <c r="O200" s="20">
        <v>503.39</v>
      </c>
      <c r="P200" s="22">
        <v>0.8672536336564495</v>
      </c>
      <c r="Q200" s="22">
        <v>99.13274636634355</v>
      </c>
    </row>
    <row r="201" spans="1:17" ht="12.75" customHeight="1">
      <c r="A201" s="23"/>
      <c r="B201" s="24"/>
      <c r="C201" s="24"/>
      <c r="D201" s="24"/>
      <c r="E201" s="23"/>
      <c r="F201" s="20">
        <v>0</v>
      </c>
      <c r="G201" s="20">
        <v>0</v>
      </c>
      <c r="H201" s="20">
        <v>0</v>
      </c>
      <c r="I201" s="21">
        <v>0</v>
      </c>
      <c r="J201" s="21"/>
      <c r="K201" s="21">
        <v>0</v>
      </c>
      <c r="L201" s="21"/>
      <c r="M201" s="20">
        <v>0</v>
      </c>
      <c r="N201" s="20">
        <v>0</v>
      </c>
      <c r="O201" s="20">
        <v>503.3899999999994</v>
      </c>
      <c r="P201" s="22">
        <v>99.13274636634355</v>
      </c>
      <c r="Q201" s="22">
        <v>100</v>
      </c>
    </row>
    <row r="202" spans="1:17" ht="20.25" customHeight="1">
      <c r="A202" s="23"/>
      <c r="B202" s="24"/>
      <c r="C202" s="24"/>
      <c r="D202" s="24"/>
      <c r="E202" s="23"/>
      <c r="F202" s="23"/>
      <c r="G202" s="23"/>
      <c r="H202" s="23"/>
      <c r="I202" s="24"/>
      <c r="J202" s="24"/>
      <c r="K202" s="24"/>
      <c r="L202" s="24"/>
      <c r="M202" s="23"/>
      <c r="N202" s="23"/>
      <c r="O202" s="23"/>
      <c r="P202" s="23"/>
      <c r="Q202" s="23"/>
    </row>
    <row r="203" spans="1:17" ht="12.75" customHeight="1">
      <c r="A203" s="10"/>
      <c r="B203" s="11" t="s">
        <v>162</v>
      </c>
      <c r="C203" s="11"/>
      <c r="D203" s="11"/>
      <c r="E203" s="12">
        <f>ROUND(704702.18,2)</f>
        <v>704702.18</v>
      </c>
      <c r="F203" s="12">
        <f>ROUND(6342.32,2)</f>
        <v>6342.32</v>
      </c>
      <c r="G203" s="12">
        <f>ROUND(711044.5,2)</f>
        <v>711044.5</v>
      </c>
      <c r="H203" s="12">
        <f>ROUND(342234.23,2)</f>
        <v>342234.23</v>
      </c>
      <c r="I203" s="13">
        <f>ROUND(342234.23,2)</f>
        <v>342234.23</v>
      </c>
      <c r="J203" s="13"/>
      <c r="K203" s="13">
        <f>ROUND(342234.23,2)</f>
        <v>342234.23</v>
      </c>
      <c r="L203" s="13"/>
      <c r="M203" s="12">
        <f>ROUND(342234.23,2)</f>
        <v>342234.23</v>
      </c>
      <c r="N203" s="12">
        <f>ROUND(342234.23,2)</f>
        <v>342234.23</v>
      </c>
      <c r="O203" s="12">
        <f aca="true" t="shared" si="96" ref="O203:O204">ROUND(368810.27,2)</f>
        <v>368810.27</v>
      </c>
      <c r="P203" s="14">
        <v>51.86880286676854</v>
      </c>
      <c r="Q203" s="14">
        <v>48.13119713323146</v>
      </c>
    </row>
    <row r="204" spans="1:17" ht="12.75" customHeight="1">
      <c r="A204" s="15" t="s">
        <v>163</v>
      </c>
      <c r="B204" s="15"/>
      <c r="C204" s="15"/>
      <c r="D204" s="15"/>
      <c r="E204" s="16" t="s">
        <v>41</v>
      </c>
      <c r="F204" s="17">
        <f>ROUND(0,2)</f>
        <v>0</v>
      </c>
      <c r="G204" s="17">
        <f>ROUND(0,2)</f>
        <v>0</v>
      </c>
      <c r="H204" s="17">
        <f>ROUND(0,2)</f>
        <v>0</v>
      </c>
      <c r="I204" s="17">
        <f>ROUND(0,2)</f>
        <v>0</v>
      </c>
      <c r="J204" s="17"/>
      <c r="K204" s="17">
        <f>ROUND(0,2)</f>
        <v>0</v>
      </c>
      <c r="L204" s="17"/>
      <c r="M204" s="17">
        <f>ROUND(0,2)</f>
        <v>0</v>
      </c>
      <c r="N204" s="17">
        <f>ROUND(0,2)</f>
        <v>0</v>
      </c>
      <c r="O204" s="17">
        <f t="shared" si="96"/>
        <v>368810.27</v>
      </c>
      <c r="P204" s="18">
        <v>48.13119713323146</v>
      </c>
      <c r="Q204" s="18">
        <v>100</v>
      </c>
    </row>
    <row r="205" spans="1:17" ht="12.75" customHeight="1">
      <c r="A205" s="19" t="s">
        <v>60</v>
      </c>
      <c r="B205" s="19"/>
      <c r="C205" s="19"/>
      <c r="D205" s="19"/>
      <c r="E205" s="20">
        <f>SUM('DS1'!$A$51)</f>
        <v>704702.18</v>
      </c>
      <c r="F205" s="20">
        <v>6342.32</v>
      </c>
      <c r="G205" s="20">
        <v>711044.5</v>
      </c>
      <c r="H205" s="20">
        <v>342234.23</v>
      </c>
      <c r="I205" s="21">
        <v>342234.23</v>
      </c>
      <c r="J205" s="21"/>
      <c r="K205" s="21">
        <v>342234.23</v>
      </c>
      <c r="L205" s="21"/>
      <c r="M205" s="20">
        <v>342234.23</v>
      </c>
      <c r="N205" s="20">
        <v>342234.23</v>
      </c>
      <c r="O205" s="20">
        <v>368810.27</v>
      </c>
      <c r="P205" s="22">
        <v>51.86880286676854</v>
      </c>
      <c r="Q205" s="22">
        <v>48.13119713323146</v>
      </c>
    </row>
    <row r="206" spans="1:17" ht="12.75" customHeight="1">
      <c r="A206" s="23"/>
      <c r="B206" s="24"/>
      <c r="C206" s="24"/>
      <c r="D206" s="24"/>
      <c r="E206" s="23"/>
      <c r="F206" s="20">
        <v>0</v>
      </c>
      <c r="G206" s="20">
        <v>0</v>
      </c>
      <c r="H206" s="20">
        <v>0</v>
      </c>
      <c r="I206" s="21">
        <v>0</v>
      </c>
      <c r="J206" s="21"/>
      <c r="K206" s="21">
        <v>0</v>
      </c>
      <c r="L206" s="21"/>
      <c r="M206" s="20">
        <v>0</v>
      </c>
      <c r="N206" s="20">
        <v>0</v>
      </c>
      <c r="O206" s="20">
        <v>368810.27</v>
      </c>
      <c r="P206" s="22">
        <v>48.13119713323146</v>
      </c>
      <c r="Q206" s="22">
        <v>100</v>
      </c>
    </row>
    <row r="207" spans="1:17" ht="20.25" customHeight="1">
      <c r="A207" s="23"/>
      <c r="B207" s="24"/>
      <c r="C207" s="24"/>
      <c r="D207" s="24"/>
      <c r="E207" s="23"/>
      <c r="F207" s="23"/>
      <c r="G207" s="23"/>
      <c r="H207" s="23"/>
      <c r="I207" s="24"/>
      <c r="J207" s="24"/>
      <c r="K207" s="24"/>
      <c r="L207" s="24"/>
      <c r="M207" s="23"/>
      <c r="N207" s="23"/>
      <c r="O207" s="23"/>
      <c r="P207" s="23"/>
      <c r="Q207" s="23"/>
    </row>
    <row r="208" spans="1:17" ht="12.75" customHeight="1">
      <c r="A208" s="10"/>
      <c r="B208" s="11" t="s">
        <v>164</v>
      </c>
      <c r="C208" s="11"/>
      <c r="D208" s="11"/>
      <c r="E208" s="12">
        <f>ROUND(229425.52,2)</f>
        <v>229425.52</v>
      </c>
      <c r="F208" s="12">
        <f>ROUND(2064.83,2)</f>
        <v>2064.83</v>
      </c>
      <c r="G208" s="12">
        <f>ROUND(231490.35,2)</f>
        <v>231490.35</v>
      </c>
      <c r="H208" s="12">
        <f>ROUND(116553.05,2)</f>
        <v>116553.05</v>
      </c>
      <c r="I208" s="13">
        <f>ROUND(116553.05,2)</f>
        <v>116553.05</v>
      </c>
      <c r="J208" s="13"/>
      <c r="K208" s="13">
        <f>ROUND(116553.05,2)</f>
        <v>116553.05</v>
      </c>
      <c r="L208" s="13"/>
      <c r="M208" s="12">
        <f>ROUND(116553.05,2)</f>
        <v>116553.05</v>
      </c>
      <c r="N208" s="12">
        <f>ROUND(116553.05,2)</f>
        <v>116553.05</v>
      </c>
      <c r="O208" s="12">
        <f>ROUND(114937.3,2)</f>
        <v>114937.3</v>
      </c>
      <c r="P208" s="14">
        <v>49.65101137045238</v>
      </c>
      <c r="Q208" s="14">
        <v>50.348988629547634</v>
      </c>
    </row>
    <row r="209" spans="1:17" ht="12.75" customHeight="1">
      <c r="A209" s="15" t="s">
        <v>165</v>
      </c>
      <c r="B209" s="15"/>
      <c r="C209" s="15"/>
      <c r="D209" s="15"/>
      <c r="E209" s="16" t="s">
        <v>41</v>
      </c>
      <c r="F209" s="17">
        <f>ROUND(0,2)</f>
        <v>0</v>
      </c>
      <c r="G209" s="17">
        <f>ROUND(0,2)</f>
        <v>0</v>
      </c>
      <c r="H209" s="17">
        <f>ROUND(0,2)</f>
        <v>0</v>
      </c>
      <c r="I209" s="17">
        <f>ROUND(0,2)</f>
        <v>0</v>
      </c>
      <c r="J209" s="17"/>
      <c r="K209" s="17">
        <f>ROUND(0,2)</f>
        <v>0</v>
      </c>
      <c r="L209" s="17"/>
      <c r="M209" s="17">
        <f>ROUND(0,2)</f>
        <v>0</v>
      </c>
      <c r="N209" s="17">
        <f>ROUND(0,2)</f>
        <v>0</v>
      </c>
      <c r="O209" s="17">
        <f>ROUND(114937.3,2)</f>
        <v>114937.3</v>
      </c>
      <c r="P209" s="18">
        <v>50.348988629547634</v>
      </c>
      <c r="Q209" s="18">
        <v>100</v>
      </c>
    </row>
    <row r="210" spans="1:17" ht="12.75" customHeight="1">
      <c r="A210" s="10"/>
      <c r="B210" s="11" t="s">
        <v>166</v>
      </c>
      <c r="C210" s="11"/>
      <c r="D210" s="11"/>
      <c r="E210" s="12">
        <f>ROUND(239113.06,2)</f>
        <v>239113.06</v>
      </c>
      <c r="F210" s="12">
        <f>ROUND(2152.02,2)</f>
        <v>2152.02</v>
      </c>
      <c r="G210" s="12">
        <f>ROUND(241265.08,2)</f>
        <v>241265.08</v>
      </c>
      <c r="H210" s="12">
        <f>ROUND(130732.89,2)</f>
        <v>130732.89</v>
      </c>
      <c r="I210" s="13">
        <f>ROUND(130732.89,2)</f>
        <v>130732.89</v>
      </c>
      <c r="J210" s="13"/>
      <c r="K210" s="13">
        <f>ROUND(130732.89,2)</f>
        <v>130732.89</v>
      </c>
      <c r="L210" s="13"/>
      <c r="M210" s="12">
        <f>ROUND(130732.89,2)</f>
        <v>130732.89</v>
      </c>
      <c r="N210" s="12">
        <f>ROUND(130732.89,2)</f>
        <v>130732.89</v>
      </c>
      <c r="O210" s="12">
        <f aca="true" t="shared" si="97" ref="O210:O211">ROUND(110532.19,2)</f>
        <v>110532.19</v>
      </c>
      <c r="P210" s="14">
        <v>45.81358810815059</v>
      </c>
      <c r="Q210" s="14">
        <v>54.18641189184942</v>
      </c>
    </row>
    <row r="211" spans="1:17" ht="12.75" customHeight="1">
      <c r="A211" s="15" t="s">
        <v>167</v>
      </c>
      <c r="B211" s="15"/>
      <c r="C211" s="15"/>
      <c r="D211" s="15"/>
      <c r="E211" s="16" t="s">
        <v>41</v>
      </c>
      <c r="F211" s="17">
        <f>ROUND(0,2)</f>
        <v>0</v>
      </c>
      <c r="G211" s="17">
        <f>ROUND(0,2)</f>
        <v>0</v>
      </c>
      <c r="H211" s="17">
        <f>ROUND(0,2)</f>
        <v>0</v>
      </c>
      <c r="I211" s="17">
        <f>ROUND(0,2)</f>
        <v>0</v>
      </c>
      <c r="J211" s="17"/>
      <c r="K211" s="17">
        <f>ROUND(0,2)</f>
        <v>0</v>
      </c>
      <c r="L211" s="17"/>
      <c r="M211" s="17">
        <f>ROUND(0,2)</f>
        <v>0</v>
      </c>
      <c r="N211" s="17">
        <f>ROUND(0,2)</f>
        <v>0</v>
      </c>
      <c r="O211" s="17">
        <f t="shared" si="97"/>
        <v>110532.19</v>
      </c>
      <c r="P211" s="18">
        <v>54.18641189184942</v>
      </c>
      <c r="Q211" s="18">
        <v>100</v>
      </c>
    </row>
    <row r="212" spans="1:17" ht="12.75" customHeight="1">
      <c r="A212" s="10"/>
      <c r="B212" s="11" t="s">
        <v>168</v>
      </c>
      <c r="C212" s="11"/>
      <c r="D212" s="11"/>
      <c r="E212" s="12">
        <f>ROUND(19002.66,2)</f>
        <v>19002.66</v>
      </c>
      <c r="F212" s="12">
        <f>ROUND(171.02,2)</f>
        <v>171.02</v>
      </c>
      <c r="G212" s="12">
        <f>ROUND(19173.68,2)</f>
        <v>19173.68</v>
      </c>
      <c r="H212" s="12">
        <f>ROUND(19964.62,2)</f>
        <v>19964.62</v>
      </c>
      <c r="I212" s="13">
        <f>ROUND(19964.62,2)</f>
        <v>19964.62</v>
      </c>
      <c r="J212" s="13"/>
      <c r="K212" s="13">
        <f>ROUND(19964.62,2)</f>
        <v>19964.62</v>
      </c>
      <c r="L212" s="13"/>
      <c r="M212" s="12">
        <f>ROUND(19964.62,2)</f>
        <v>19964.62</v>
      </c>
      <c r="N212" s="12">
        <f>ROUND(19964.62,2)</f>
        <v>19964.62</v>
      </c>
      <c r="O212" s="12">
        <f>ROUND(-790.94,2)</f>
        <v>-790.94</v>
      </c>
      <c r="P212" s="14">
        <v>-4.1251340379103025</v>
      </c>
      <c r="Q212" s="14">
        <v>104.1251340379103</v>
      </c>
    </row>
    <row r="213" spans="1:17" ht="12.75" customHeight="1">
      <c r="A213" s="15" t="s">
        <v>169</v>
      </c>
      <c r="B213" s="15"/>
      <c r="C213" s="15"/>
      <c r="D213" s="15"/>
      <c r="E213" s="16" t="s">
        <v>41</v>
      </c>
      <c r="F213" s="17">
        <f>ROUND(0,2)</f>
        <v>0</v>
      </c>
      <c r="G213" s="17">
        <f>ROUND(0,2)</f>
        <v>0</v>
      </c>
      <c r="H213" s="17">
        <f>ROUND(0,2)</f>
        <v>0</v>
      </c>
      <c r="I213" s="17">
        <f>ROUND(0,2)</f>
        <v>0</v>
      </c>
      <c r="J213" s="17"/>
      <c r="K213" s="17">
        <f>ROUND(0,2)</f>
        <v>0</v>
      </c>
      <c r="L213" s="17"/>
      <c r="M213" s="17">
        <f>ROUND(0,2)</f>
        <v>0</v>
      </c>
      <c r="N213" s="17">
        <f>ROUND(0,2)</f>
        <v>0</v>
      </c>
      <c r="O213" s="17">
        <f>ROUND(-790.939999999999,2)</f>
        <v>-790.94</v>
      </c>
      <c r="P213" s="18">
        <v>104.1251340379103</v>
      </c>
      <c r="Q213" s="18">
        <v>100</v>
      </c>
    </row>
    <row r="214" spans="1:17" ht="12.75" customHeight="1">
      <c r="A214" s="19" t="s">
        <v>68</v>
      </c>
      <c r="B214" s="19"/>
      <c r="C214" s="19"/>
      <c r="D214" s="19"/>
      <c r="E214" s="20">
        <f>SUM('DS1'!$A$52:$A$54)</f>
        <v>487541.24</v>
      </c>
      <c r="F214" s="20">
        <v>4387.870000000001</v>
      </c>
      <c r="G214" s="20">
        <v>491929.1099999999</v>
      </c>
      <c r="H214" s="20">
        <v>267250.56</v>
      </c>
      <c r="I214" s="21">
        <v>267250.56</v>
      </c>
      <c r="J214" s="21"/>
      <c r="K214" s="21">
        <v>267250.56</v>
      </c>
      <c r="L214" s="21"/>
      <c r="M214" s="20">
        <v>267250.56</v>
      </c>
      <c r="N214" s="20">
        <v>267250.56</v>
      </c>
      <c r="O214" s="20">
        <v>224678.55</v>
      </c>
      <c r="P214" s="22">
        <v>45.67295275532688</v>
      </c>
      <c r="Q214" s="22">
        <v>54.32704724467313</v>
      </c>
    </row>
    <row r="215" spans="1:17" ht="12.75" customHeight="1">
      <c r="A215" s="23"/>
      <c r="B215" s="24"/>
      <c r="C215" s="24"/>
      <c r="D215" s="24"/>
      <c r="E215" s="23"/>
      <c r="F215" s="20">
        <v>0</v>
      </c>
      <c r="G215" s="20">
        <v>0</v>
      </c>
      <c r="H215" s="20">
        <v>0</v>
      </c>
      <c r="I215" s="21">
        <v>0</v>
      </c>
      <c r="J215" s="21"/>
      <c r="K215" s="21">
        <v>0</v>
      </c>
      <c r="L215" s="21"/>
      <c r="M215" s="20">
        <v>0</v>
      </c>
      <c r="N215" s="20">
        <v>0</v>
      </c>
      <c r="O215" s="20">
        <v>224678.54999999996</v>
      </c>
      <c r="P215" s="22">
        <v>54.32704724467313</v>
      </c>
      <c r="Q215" s="22">
        <v>100</v>
      </c>
    </row>
    <row r="216" spans="1:17" ht="20.25" customHeight="1">
      <c r="A216" s="23"/>
      <c r="B216" s="24"/>
      <c r="C216" s="24"/>
      <c r="D216" s="24"/>
      <c r="E216" s="23"/>
      <c r="F216" s="23"/>
      <c r="G216" s="23"/>
      <c r="H216" s="23"/>
      <c r="I216" s="24"/>
      <c r="J216" s="24"/>
      <c r="K216" s="24"/>
      <c r="L216" s="24"/>
      <c r="M216" s="23"/>
      <c r="N216" s="23"/>
      <c r="O216" s="23"/>
      <c r="P216" s="23"/>
      <c r="Q216" s="23"/>
    </row>
    <row r="217" spans="1:17" ht="12.75" customHeight="1">
      <c r="A217" s="10"/>
      <c r="B217" s="11" t="s">
        <v>170</v>
      </c>
      <c r="C217" s="11"/>
      <c r="D217" s="11"/>
      <c r="E217" s="12">
        <f>ROUND(120000,2)</f>
        <v>120000</v>
      </c>
      <c r="F217" s="12">
        <f>ROUND(-120000,2)</f>
        <v>-120000</v>
      </c>
      <c r="G217" s="12">
        <f aca="true" t="shared" si="98" ref="G217:G218">ROUND(0,2)</f>
        <v>0</v>
      </c>
      <c r="H217" s="12">
        <f aca="true" t="shared" si="99" ref="H217:H218">ROUND(0,2)</f>
        <v>0</v>
      </c>
      <c r="I217" s="13">
        <f aca="true" t="shared" si="100" ref="I217:I218">ROUND(0,2)</f>
        <v>0</v>
      </c>
      <c r="J217" s="13"/>
      <c r="K217" s="13">
        <f aca="true" t="shared" si="101" ref="K217:K218">ROUND(0,2)</f>
        <v>0</v>
      </c>
      <c r="L217" s="13"/>
      <c r="M217" s="12">
        <f aca="true" t="shared" si="102" ref="M217:M218">ROUND(0,2)</f>
        <v>0</v>
      </c>
      <c r="N217" s="12">
        <f aca="true" t="shared" si="103" ref="N217:N218">ROUND(0,2)</f>
        <v>0</v>
      </c>
      <c r="O217" s="12">
        <f aca="true" t="shared" si="104" ref="O217:O218">ROUND(0,2)</f>
        <v>0</v>
      </c>
      <c r="P217" s="14">
        <v>0</v>
      </c>
      <c r="Q217" s="14">
        <v>0</v>
      </c>
    </row>
    <row r="218" spans="1:17" ht="12.75" customHeight="1">
      <c r="A218" s="15" t="s">
        <v>171</v>
      </c>
      <c r="B218" s="15"/>
      <c r="C218" s="15"/>
      <c r="D218" s="15"/>
      <c r="E218" s="16" t="s">
        <v>172</v>
      </c>
      <c r="F218" s="17">
        <f>ROUND(0,2)</f>
        <v>0</v>
      </c>
      <c r="G218" s="17">
        <f t="shared" si="98"/>
        <v>0</v>
      </c>
      <c r="H218" s="17">
        <f t="shared" si="99"/>
        <v>0</v>
      </c>
      <c r="I218" s="17">
        <f t="shared" si="100"/>
        <v>0</v>
      </c>
      <c r="J218" s="17"/>
      <c r="K218" s="17">
        <f t="shared" si="101"/>
        <v>0</v>
      </c>
      <c r="L218" s="17"/>
      <c r="M218" s="17">
        <f t="shared" si="102"/>
        <v>0</v>
      </c>
      <c r="N218" s="17">
        <f t="shared" si="103"/>
        <v>0</v>
      </c>
      <c r="O218" s="17">
        <f t="shared" si="104"/>
        <v>0</v>
      </c>
      <c r="P218" s="18">
        <v>0</v>
      </c>
      <c r="Q218" s="18">
        <v>0</v>
      </c>
    </row>
    <row r="219" spans="1:17" ht="12.75" customHeight="1">
      <c r="A219" s="19" t="s">
        <v>173</v>
      </c>
      <c r="B219" s="19"/>
      <c r="C219" s="19"/>
      <c r="D219" s="19"/>
      <c r="E219" s="20">
        <f>SUM('DS1'!$A$55)</f>
        <v>120000</v>
      </c>
      <c r="F219" s="20">
        <v>-120000</v>
      </c>
      <c r="G219" s="20">
        <v>0</v>
      </c>
      <c r="H219" s="20">
        <v>0</v>
      </c>
      <c r="I219" s="21">
        <v>0</v>
      </c>
      <c r="J219" s="21"/>
      <c r="K219" s="21">
        <v>0</v>
      </c>
      <c r="L219" s="21"/>
      <c r="M219" s="20">
        <v>0</v>
      </c>
      <c r="N219" s="20">
        <v>0</v>
      </c>
      <c r="O219" s="20">
        <v>0</v>
      </c>
      <c r="P219" s="22">
        <v>0</v>
      </c>
      <c r="Q219" s="22">
        <v>0</v>
      </c>
    </row>
    <row r="220" spans="1:17" ht="12.75" customHeight="1">
      <c r="A220" s="23"/>
      <c r="B220" s="24"/>
      <c r="C220" s="24"/>
      <c r="D220" s="24"/>
      <c r="E220" s="23"/>
      <c r="F220" s="20">
        <v>0</v>
      </c>
      <c r="G220" s="20">
        <v>0</v>
      </c>
      <c r="H220" s="20">
        <v>0</v>
      </c>
      <c r="I220" s="21">
        <v>0</v>
      </c>
      <c r="J220" s="21"/>
      <c r="K220" s="21">
        <v>0</v>
      </c>
      <c r="L220" s="21"/>
      <c r="M220" s="20">
        <v>0</v>
      </c>
      <c r="N220" s="20">
        <v>0</v>
      </c>
      <c r="O220" s="20">
        <v>0</v>
      </c>
      <c r="P220" s="22">
        <v>0</v>
      </c>
      <c r="Q220" s="22">
        <v>0</v>
      </c>
    </row>
    <row r="221" spans="1:17" ht="20.25" customHeight="1">
      <c r="A221" s="23"/>
      <c r="B221" s="24"/>
      <c r="C221" s="24"/>
      <c r="D221" s="24"/>
      <c r="E221" s="23"/>
      <c r="F221" s="23"/>
      <c r="G221" s="23"/>
      <c r="H221" s="23"/>
      <c r="I221" s="24"/>
      <c r="J221" s="24"/>
      <c r="K221" s="24"/>
      <c r="L221" s="24"/>
      <c r="M221" s="23"/>
      <c r="N221" s="23"/>
      <c r="O221" s="23"/>
      <c r="P221" s="23"/>
      <c r="Q221" s="23"/>
    </row>
    <row r="222" spans="1:17" ht="12.75" customHeight="1">
      <c r="A222" s="10"/>
      <c r="B222" s="11" t="s">
        <v>174</v>
      </c>
      <c r="C222" s="11"/>
      <c r="D222" s="11"/>
      <c r="E222" s="12">
        <f>ROUND(20000,2)</f>
        <v>20000</v>
      </c>
      <c r="F222" s="12">
        <f aca="true" t="shared" si="105" ref="F222:F223">ROUND(0,2)</f>
        <v>0</v>
      </c>
      <c r="G222" s="12">
        <f>ROUND(20000,2)</f>
        <v>20000</v>
      </c>
      <c r="H222" s="12">
        <f>ROUND(10452.95,2)</f>
        <v>10452.95</v>
      </c>
      <c r="I222" s="13">
        <f>ROUND(10452.95,2)</f>
        <v>10452.95</v>
      </c>
      <c r="J222" s="13"/>
      <c r="K222" s="13">
        <f>ROUND(10452.95,2)</f>
        <v>10452.95</v>
      </c>
      <c r="L222" s="13"/>
      <c r="M222" s="12">
        <f>ROUND(10452.95,2)</f>
        <v>10452.95</v>
      </c>
      <c r="N222" s="12">
        <f>ROUND(7054.52,2)</f>
        <v>7054.52</v>
      </c>
      <c r="O222" s="12">
        <f aca="true" t="shared" si="106" ref="O222:O223">ROUND(9547.05,2)</f>
        <v>9547.05</v>
      </c>
      <c r="P222" s="14">
        <v>47.73524999999999</v>
      </c>
      <c r="Q222" s="14">
        <v>52.26475000000001</v>
      </c>
    </row>
    <row r="223" spans="1:17" ht="12.75" customHeight="1">
      <c r="A223" s="15" t="s">
        <v>175</v>
      </c>
      <c r="B223" s="15"/>
      <c r="C223" s="15"/>
      <c r="D223" s="15"/>
      <c r="E223" s="16" t="s">
        <v>172</v>
      </c>
      <c r="F223" s="17">
        <f t="shared" si="105"/>
        <v>0</v>
      </c>
      <c r="G223" s="17">
        <f>ROUND(0,2)</f>
        <v>0</v>
      </c>
      <c r="H223" s="17">
        <f>ROUND(0,2)</f>
        <v>0</v>
      </c>
      <c r="I223" s="17">
        <f>ROUND(0,2)</f>
        <v>0</v>
      </c>
      <c r="J223" s="17"/>
      <c r="K223" s="17">
        <f>ROUND(0,2)</f>
        <v>0</v>
      </c>
      <c r="L223" s="17"/>
      <c r="M223" s="17">
        <f>ROUND(3398.43,2)</f>
        <v>3398.43</v>
      </c>
      <c r="N223" s="17">
        <f>ROUND(0,2)</f>
        <v>0</v>
      </c>
      <c r="O223" s="17">
        <f t="shared" si="106"/>
        <v>9547.05</v>
      </c>
      <c r="P223" s="18">
        <v>52.26475000000001</v>
      </c>
      <c r="Q223" s="18">
        <v>67.48831669528698</v>
      </c>
    </row>
    <row r="224" spans="1:17" ht="12.75" customHeight="1">
      <c r="A224" s="19" t="s">
        <v>82</v>
      </c>
      <c r="B224" s="19"/>
      <c r="C224" s="19"/>
      <c r="D224" s="19"/>
      <c r="E224" s="20">
        <f>SUM('DS1'!$A$56)</f>
        <v>20000</v>
      </c>
      <c r="F224" s="20">
        <v>0</v>
      </c>
      <c r="G224" s="20">
        <v>20000</v>
      </c>
      <c r="H224" s="20">
        <v>10452.95</v>
      </c>
      <c r="I224" s="21">
        <v>10452.95</v>
      </c>
      <c r="J224" s="21"/>
      <c r="K224" s="21">
        <v>10452.95</v>
      </c>
      <c r="L224" s="21"/>
      <c r="M224" s="20">
        <v>10452.95</v>
      </c>
      <c r="N224" s="20">
        <v>7054.52</v>
      </c>
      <c r="O224" s="20">
        <v>9547.05</v>
      </c>
      <c r="P224" s="22">
        <v>47.73524999999999</v>
      </c>
      <c r="Q224" s="22">
        <v>52.26475000000001</v>
      </c>
    </row>
    <row r="225" spans="1:17" ht="12.75" customHeight="1">
      <c r="A225" s="23"/>
      <c r="B225" s="24"/>
      <c r="C225" s="24"/>
      <c r="D225" s="24"/>
      <c r="E225" s="23"/>
      <c r="F225" s="20">
        <v>0</v>
      </c>
      <c r="G225" s="20">
        <v>0</v>
      </c>
      <c r="H225" s="20">
        <v>0</v>
      </c>
      <c r="I225" s="21">
        <v>0</v>
      </c>
      <c r="J225" s="21"/>
      <c r="K225" s="21">
        <v>0</v>
      </c>
      <c r="L225" s="21"/>
      <c r="M225" s="20">
        <v>3398.43</v>
      </c>
      <c r="N225" s="20">
        <v>0</v>
      </c>
      <c r="O225" s="20">
        <v>9547.05</v>
      </c>
      <c r="P225" s="22">
        <v>52.26475000000001</v>
      </c>
      <c r="Q225" s="22">
        <v>67.48831669528698</v>
      </c>
    </row>
    <row r="226" spans="1:17" ht="20.25" customHeight="1">
      <c r="A226" s="23"/>
      <c r="B226" s="24"/>
      <c r="C226" s="24"/>
      <c r="D226" s="24"/>
      <c r="E226" s="23"/>
      <c r="F226" s="23"/>
      <c r="G226" s="23"/>
      <c r="H226" s="23"/>
      <c r="I226" s="24"/>
      <c r="J226" s="24"/>
      <c r="K226" s="24"/>
      <c r="L226" s="24"/>
      <c r="M226" s="23"/>
      <c r="N226" s="23"/>
      <c r="O226" s="23"/>
      <c r="P226" s="23"/>
      <c r="Q226" s="23"/>
    </row>
    <row r="227" spans="1:17" ht="12.75" customHeight="1">
      <c r="A227" s="10"/>
      <c r="B227" s="11" t="s">
        <v>176</v>
      </c>
      <c r="C227" s="11"/>
      <c r="D227" s="11"/>
      <c r="E227" s="12">
        <f>ROUND(1900,2)</f>
        <v>1900</v>
      </c>
      <c r="F227" s="12">
        <f aca="true" t="shared" si="107" ref="F227:F230">ROUND(0,2)</f>
        <v>0</v>
      </c>
      <c r="G227" s="12">
        <f>ROUND(1900,2)</f>
        <v>1900</v>
      </c>
      <c r="H227" s="12">
        <f>ROUND(1899.24,2)</f>
        <v>1899.24</v>
      </c>
      <c r="I227" s="13">
        <f>ROUND(1899.24,2)</f>
        <v>1899.24</v>
      </c>
      <c r="J227" s="13"/>
      <c r="K227" s="13">
        <f>ROUND(1899.24,2)</f>
        <v>1899.24</v>
      </c>
      <c r="L227" s="13"/>
      <c r="M227" s="12">
        <f aca="true" t="shared" si="108" ref="M227:M228">ROUND(1899.24,2)</f>
        <v>1899.24</v>
      </c>
      <c r="N227" s="12">
        <f aca="true" t="shared" si="109" ref="N227:N228">ROUND(0,2)</f>
        <v>0</v>
      </c>
      <c r="O227" s="12">
        <f>ROUND(0.76,2)</f>
        <v>0.76</v>
      </c>
      <c r="P227" s="14">
        <v>0.04</v>
      </c>
      <c r="Q227" s="14">
        <v>99.96</v>
      </c>
    </row>
    <row r="228" spans="1:17" ht="12.75" customHeight="1">
      <c r="A228" s="15" t="s">
        <v>177</v>
      </c>
      <c r="B228" s="15"/>
      <c r="C228" s="15"/>
      <c r="D228" s="15"/>
      <c r="E228" s="16" t="s">
        <v>178</v>
      </c>
      <c r="F228" s="17">
        <f t="shared" si="107"/>
        <v>0</v>
      </c>
      <c r="G228" s="17">
        <f>ROUND(0,2)</f>
        <v>0</v>
      </c>
      <c r="H228" s="17">
        <f>ROUND(0,2)</f>
        <v>0</v>
      </c>
      <c r="I228" s="17">
        <f>ROUND(0,2)</f>
        <v>0</v>
      </c>
      <c r="J228" s="17"/>
      <c r="K228" s="17">
        <f>ROUND(0,2)</f>
        <v>0</v>
      </c>
      <c r="L228" s="17"/>
      <c r="M228" s="17">
        <f t="shared" si="108"/>
        <v>1899.24</v>
      </c>
      <c r="N228" s="17">
        <f t="shared" si="109"/>
        <v>0</v>
      </c>
      <c r="O228" s="17">
        <f>ROUND(0.759999999999991,2)</f>
        <v>0.76</v>
      </c>
      <c r="P228" s="18">
        <v>99.96</v>
      </c>
      <c r="Q228" s="18">
        <v>0</v>
      </c>
    </row>
    <row r="229" spans="1:17" ht="12.75" customHeight="1">
      <c r="A229" s="10"/>
      <c r="B229" s="11" t="s">
        <v>179</v>
      </c>
      <c r="C229" s="11"/>
      <c r="D229" s="11"/>
      <c r="E229" s="12">
        <f>ROUND(25000,2)</f>
        <v>25000</v>
      </c>
      <c r="F229" s="12">
        <f t="shared" si="107"/>
        <v>0</v>
      </c>
      <c r="G229" s="12">
        <f>ROUND(25000,2)</f>
        <v>25000</v>
      </c>
      <c r="H229" s="12">
        <f>ROUND(6891.44,2)</f>
        <v>6891.44</v>
      </c>
      <c r="I229" s="13">
        <f>ROUND(6891.44,2)</f>
        <v>6891.44</v>
      </c>
      <c r="J229" s="13"/>
      <c r="K229" s="13">
        <f>ROUND(6891.44,2)</f>
        <v>6891.44</v>
      </c>
      <c r="L229" s="13"/>
      <c r="M229" s="12">
        <f>ROUND(6891.44,2)</f>
        <v>6891.44</v>
      </c>
      <c r="N229" s="12">
        <f>ROUND(3794.79,2)</f>
        <v>3794.79</v>
      </c>
      <c r="O229" s="12">
        <f aca="true" t="shared" si="110" ref="O229:O230">ROUND(18108.56,2)</f>
        <v>18108.56</v>
      </c>
      <c r="P229" s="14">
        <v>72.43424</v>
      </c>
      <c r="Q229" s="14">
        <v>27.56576</v>
      </c>
    </row>
    <row r="230" spans="1:17" ht="12.75" customHeight="1">
      <c r="A230" s="15" t="s">
        <v>180</v>
      </c>
      <c r="B230" s="15"/>
      <c r="C230" s="15"/>
      <c r="D230" s="15"/>
      <c r="E230" s="16" t="s">
        <v>178</v>
      </c>
      <c r="F230" s="17">
        <f t="shared" si="107"/>
        <v>0</v>
      </c>
      <c r="G230" s="17">
        <f>ROUND(0,2)</f>
        <v>0</v>
      </c>
      <c r="H230" s="17">
        <f>ROUND(0,2)</f>
        <v>0</v>
      </c>
      <c r="I230" s="17">
        <f>ROUND(0,2)</f>
        <v>0</v>
      </c>
      <c r="J230" s="17"/>
      <c r="K230" s="17">
        <f>ROUND(0,2)</f>
        <v>0</v>
      </c>
      <c r="L230" s="17"/>
      <c r="M230" s="17">
        <f>ROUND(3096.65,2)</f>
        <v>3096.65</v>
      </c>
      <c r="N230" s="17">
        <f>ROUND(0,2)</f>
        <v>0</v>
      </c>
      <c r="O230" s="17">
        <f t="shared" si="110"/>
        <v>18108.56</v>
      </c>
      <c r="P230" s="18">
        <v>27.56576</v>
      </c>
      <c r="Q230" s="18">
        <v>55.06526937766273</v>
      </c>
    </row>
    <row r="231" spans="1:17" ht="12.75" customHeight="1">
      <c r="A231" s="19" t="s">
        <v>92</v>
      </c>
      <c r="B231" s="19"/>
      <c r="C231" s="19"/>
      <c r="D231" s="19"/>
      <c r="E231" s="20">
        <f>SUM('DS1'!$A$57:$A$58)</f>
        <v>26900</v>
      </c>
      <c r="F231" s="20">
        <v>0</v>
      </c>
      <c r="G231" s="20">
        <v>26900</v>
      </c>
      <c r="H231" s="20">
        <v>8790.68</v>
      </c>
      <c r="I231" s="21">
        <v>8790.68</v>
      </c>
      <c r="J231" s="21"/>
      <c r="K231" s="21">
        <v>8790.68</v>
      </c>
      <c r="L231" s="21"/>
      <c r="M231" s="20">
        <v>8790.68</v>
      </c>
      <c r="N231" s="20">
        <v>3794.79</v>
      </c>
      <c r="O231" s="20">
        <v>18109.32</v>
      </c>
      <c r="P231" s="22">
        <v>67.32089219330855</v>
      </c>
      <c r="Q231" s="22">
        <v>32.67910780669145</v>
      </c>
    </row>
    <row r="232" spans="1:17" ht="12.75" customHeight="1">
      <c r="A232" s="23"/>
      <c r="B232" s="24"/>
      <c r="C232" s="24"/>
      <c r="D232" s="24"/>
      <c r="E232" s="23"/>
      <c r="F232" s="20">
        <v>0</v>
      </c>
      <c r="G232" s="20">
        <v>0</v>
      </c>
      <c r="H232" s="20">
        <v>0</v>
      </c>
      <c r="I232" s="21">
        <v>0</v>
      </c>
      <c r="J232" s="21"/>
      <c r="K232" s="21">
        <v>0</v>
      </c>
      <c r="L232" s="21"/>
      <c r="M232" s="20">
        <v>4995.889999999999</v>
      </c>
      <c r="N232" s="20">
        <v>0</v>
      </c>
      <c r="O232" s="20">
        <v>18109.32</v>
      </c>
      <c r="P232" s="22">
        <v>32.67910780669145</v>
      </c>
      <c r="Q232" s="22">
        <v>43.16833282521944</v>
      </c>
    </row>
    <row r="233" spans="1:17" ht="20.25" customHeight="1">
      <c r="A233" s="23"/>
      <c r="B233" s="24"/>
      <c r="C233" s="24"/>
      <c r="D233" s="24"/>
      <c r="E233" s="23"/>
      <c r="F233" s="23"/>
      <c r="G233" s="23"/>
      <c r="H233" s="23"/>
      <c r="I233" s="24"/>
      <c r="J233" s="24"/>
      <c r="K233" s="24"/>
      <c r="L233" s="24"/>
      <c r="M233" s="23"/>
      <c r="N233" s="23"/>
      <c r="O233" s="23"/>
      <c r="P233" s="23"/>
      <c r="Q233" s="23"/>
    </row>
    <row r="234" spans="1:17" ht="12.75" customHeight="1">
      <c r="A234" s="10"/>
      <c r="B234" s="11" t="s">
        <v>181</v>
      </c>
      <c r="C234" s="11"/>
      <c r="D234" s="11"/>
      <c r="E234" s="12">
        <f>ROUND(800,2)</f>
        <v>800</v>
      </c>
      <c r="F234" s="12">
        <f aca="true" t="shared" si="111" ref="F234:F235">ROUND(0,2)</f>
        <v>0</v>
      </c>
      <c r="G234" s="12">
        <f>ROUND(800,2)</f>
        <v>800</v>
      </c>
      <c r="H234" s="12">
        <f aca="true" t="shared" si="112" ref="H234:H235">ROUND(0,2)</f>
        <v>0</v>
      </c>
      <c r="I234" s="13">
        <f aca="true" t="shared" si="113" ref="I234:I235">ROUND(0,2)</f>
        <v>0</v>
      </c>
      <c r="J234" s="13"/>
      <c r="K234" s="13">
        <f aca="true" t="shared" si="114" ref="K234:K235">ROUND(0,2)</f>
        <v>0</v>
      </c>
      <c r="L234" s="13"/>
      <c r="M234" s="12">
        <f aca="true" t="shared" si="115" ref="M234:M235">ROUND(0,2)</f>
        <v>0</v>
      </c>
      <c r="N234" s="12">
        <f aca="true" t="shared" si="116" ref="N234:N235">ROUND(0,2)</f>
        <v>0</v>
      </c>
      <c r="O234" s="12">
        <f aca="true" t="shared" si="117" ref="O234:O235">ROUND(800,2)</f>
        <v>800</v>
      </c>
      <c r="P234" s="14">
        <v>100</v>
      </c>
      <c r="Q234" s="14">
        <v>0</v>
      </c>
    </row>
    <row r="235" spans="1:17" ht="12.75" customHeight="1">
      <c r="A235" s="15" t="s">
        <v>182</v>
      </c>
      <c r="B235" s="15"/>
      <c r="C235" s="15"/>
      <c r="D235" s="15"/>
      <c r="E235" s="16" t="s">
        <v>178</v>
      </c>
      <c r="F235" s="17">
        <f t="shared" si="111"/>
        <v>0</v>
      </c>
      <c r="G235" s="17">
        <f>ROUND(0,2)</f>
        <v>0</v>
      </c>
      <c r="H235" s="17">
        <f t="shared" si="112"/>
        <v>0</v>
      </c>
      <c r="I235" s="17">
        <f t="shared" si="113"/>
        <v>0</v>
      </c>
      <c r="J235" s="17"/>
      <c r="K235" s="17">
        <f t="shared" si="114"/>
        <v>0</v>
      </c>
      <c r="L235" s="17"/>
      <c r="M235" s="17">
        <f t="shared" si="115"/>
        <v>0</v>
      </c>
      <c r="N235" s="17">
        <f t="shared" si="116"/>
        <v>0</v>
      </c>
      <c r="O235" s="17">
        <f t="shared" si="117"/>
        <v>800</v>
      </c>
      <c r="P235" s="18">
        <v>0</v>
      </c>
      <c r="Q235" s="18">
        <v>0</v>
      </c>
    </row>
    <row r="236" spans="1:17" ht="12.75" customHeight="1">
      <c r="A236" s="19" t="s">
        <v>183</v>
      </c>
      <c r="B236" s="19"/>
      <c r="C236" s="19"/>
      <c r="D236" s="19"/>
      <c r="E236" s="20">
        <f>SUM('DS1'!$A$59)</f>
        <v>800</v>
      </c>
      <c r="F236" s="20">
        <v>0</v>
      </c>
      <c r="G236" s="20">
        <v>800</v>
      </c>
      <c r="H236" s="20">
        <v>0</v>
      </c>
      <c r="I236" s="21">
        <v>0</v>
      </c>
      <c r="J236" s="21"/>
      <c r="K236" s="21">
        <v>0</v>
      </c>
      <c r="L236" s="21"/>
      <c r="M236" s="20">
        <v>0</v>
      </c>
      <c r="N236" s="20">
        <v>0</v>
      </c>
      <c r="O236" s="20">
        <v>800</v>
      </c>
      <c r="P236" s="22">
        <v>100</v>
      </c>
      <c r="Q236" s="22">
        <v>0</v>
      </c>
    </row>
    <row r="237" spans="1:17" ht="12.75" customHeight="1">
      <c r="A237" s="23"/>
      <c r="B237" s="24"/>
      <c r="C237" s="24"/>
      <c r="D237" s="24"/>
      <c r="E237" s="23"/>
      <c r="F237" s="20">
        <v>0</v>
      </c>
      <c r="G237" s="20">
        <v>0</v>
      </c>
      <c r="H237" s="20">
        <v>0</v>
      </c>
      <c r="I237" s="21">
        <v>0</v>
      </c>
      <c r="J237" s="21"/>
      <c r="K237" s="21">
        <v>0</v>
      </c>
      <c r="L237" s="21"/>
      <c r="M237" s="20">
        <v>0</v>
      </c>
      <c r="N237" s="20">
        <v>0</v>
      </c>
      <c r="O237" s="20">
        <v>800</v>
      </c>
      <c r="P237" s="22">
        <v>0</v>
      </c>
      <c r="Q237" s="22">
        <v>0</v>
      </c>
    </row>
    <row r="238" spans="1:17" ht="20.25" customHeight="1">
      <c r="A238" s="23"/>
      <c r="B238" s="24"/>
      <c r="C238" s="24"/>
      <c r="D238" s="24"/>
      <c r="E238" s="23"/>
      <c r="F238" s="23"/>
      <c r="G238" s="23"/>
      <c r="H238" s="23"/>
      <c r="I238" s="24"/>
      <c r="J238" s="24"/>
      <c r="K238" s="24"/>
      <c r="L238" s="24"/>
      <c r="M238" s="23"/>
      <c r="N238" s="23"/>
      <c r="O238" s="23"/>
      <c r="P238" s="23"/>
      <c r="Q238" s="23"/>
    </row>
    <row r="239" spans="1:17" ht="12.75" customHeight="1">
      <c r="A239" s="10"/>
      <c r="B239" s="11" t="s">
        <v>184</v>
      </c>
      <c r="C239" s="11"/>
      <c r="D239" s="11"/>
      <c r="E239" s="12">
        <f>ROUND(1100,2)</f>
        <v>1100</v>
      </c>
      <c r="F239" s="12">
        <f aca="true" t="shared" si="118" ref="F239:F240">ROUND(0,2)</f>
        <v>0</v>
      </c>
      <c r="G239" s="12">
        <f>ROUND(1100,2)</f>
        <v>1100</v>
      </c>
      <c r="H239" s="12">
        <f>ROUND(4355.37,2)</f>
        <v>4355.37</v>
      </c>
      <c r="I239" s="13">
        <f>ROUND(4355.37,2)</f>
        <v>4355.37</v>
      </c>
      <c r="J239" s="13"/>
      <c r="K239" s="13">
        <f>ROUND(4355.37,2)</f>
        <v>4355.37</v>
      </c>
      <c r="L239" s="13"/>
      <c r="M239" s="12">
        <f>ROUND(4355.37,2)</f>
        <v>4355.37</v>
      </c>
      <c r="N239" s="12">
        <f>ROUND(3453.72,2)</f>
        <v>3453.72</v>
      </c>
      <c r="O239" s="12">
        <f aca="true" t="shared" si="119" ref="O239:O240">ROUND(-3255.37,2)</f>
        <v>-3255.37</v>
      </c>
      <c r="P239" s="14">
        <v>-295.94272727272727</v>
      </c>
      <c r="Q239" s="14">
        <v>395.94272727272727</v>
      </c>
    </row>
    <row r="240" spans="1:17" ht="12.75" customHeight="1">
      <c r="A240" s="15" t="s">
        <v>185</v>
      </c>
      <c r="B240" s="15"/>
      <c r="C240" s="15"/>
      <c r="D240" s="15"/>
      <c r="E240" s="16" t="s">
        <v>178</v>
      </c>
      <c r="F240" s="17">
        <f t="shared" si="118"/>
        <v>0</v>
      </c>
      <c r="G240" s="17">
        <f>ROUND(0,2)</f>
        <v>0</v>
      </c>
      <c r="H240" s="17">
        <f>ROUND(0,2)</f>
        <v>0</v>
      </c>
      <c r="I240" s="17">
        <f>ROUND(0,2)</f>
        <v>0</v>
      </c>
      <c r="J240" s="17"/>
      <c r="K240" s="17">
        <f>ROUND(0,2)</f>
        <v>0</v>
      </c>
      <c r="L240" s="17"/>
      <c r="M240" s="17">
        <f>ROUND(901.65,2)</f>
        <v>901.65</v>
      </c>
      <c r="N240" s="17">
        <f>ROUND(0,2)</f>
        <v>0</v>
      </c>
      <c r="O240" s="17">
        <f t="shared" si="119"/>
        <v>-3255.37</v>
      </c>
      <c r="P240" s="18">
        <v>395.94272727272727</v>
      </c>
      <c r="Q240" s="18">
        <v>79.29797009209321</v>
      </c>
    </row>
    <row r="241" spans="1:17" ht="12.75" customHeight="1">
      <c r="A241" s="19" t="s">
        <v>95</v>
      </c>
      <c r="B241" s="19"/>
      <c r="C241" s="19"/>
      <c r="D241" s="19"/>
      <c r="E241" s="20">
        <f>SUM('DS1'!$A$60)</f>
        <v>1100</v>
      </c>
      <c r="F241" s="20">
        <v>0</v>
      </c>
      <c r="G241" s="20">
        <v>1100</v>
      </c>
      <c r="H241" s="20">
        <v>4355.37</v>
      </c>
      <c r="I241" s="21">
        <v>4355.37</v>
      </c>
      <c r="J241" s="21"/>
      <c r="K241" s="21">
        <v>4355.37</v>
      </c>
      <c r="L241" s="21"/>
      <c r="M241" s="20">
        <v>4355.37</v>
      </c>
      <c r="N241" s="20">
        <v>3453.72</v>
      </c>
      <c r="O241" s="20">
        <v>-3255.37</v>
      </c>
      <c r="P241" s="22">
        <v>-295.94272727272727</v>
      </c>
      <c r="Q241" s="22">
        <v>395.94272727272727</v>
      </c>
    </row>
    <row r="242" spans="1:17" ht="12.75" customHeight="1">
      <c r="A242" s="23"/>
      <c r="B242" s="24"/>
      <c r="C242" s="24"/>
      <c r="D242" s="24"/>
      <c r="E242" s="23"/>
      <c r="F242" s="20">
        <v>0</v>
      </c>
      <c r="G242" s="20">
        <v>0</v>
      </c>
      <c r="H242" s="20">
        <v>0</v>
      </c>
      <c r="I242" s="21">
        <v>0</v>
      </c>
      <c r="J242" s="21"/>
      <c r="K242" s="21">
        <v>0</v>
      </c>
      <c r="L242" s="21"/>
      <c r="M242" s="20">
        <v>901.6500000000001</v>
      </c>
      <c r="N242" s="20">
        <v>0</v>
      </c>
      <c r="O242" s="20">
        <v>-3255.37</v>
      </c>
      <c r="P242" s="22">
        <v>395.94272727272727</v>
      </c>
      <c r="Q242" s="22">
        <v>79.29797009209321</v>
      </c>
    </row>
    <row r="243" spans="1:17" ht="20.25" customHeight="1">
      <c r="A243" s="23"/>
      <c r="B243" s="24"/>
      <c r="C243" s="24"/>
      <c r="D243" s="24"/>
      <c r="E243" s="23"/>
      <c r="F243" s="23"/>
      <c r="G243" s="23"/>
      <c r="H243" s="23"/>
      <c r="I243" s="24"/>
      <c r="J243" s="24"/>
      <c r="K243" s="24"/>
      <c r="L243" s="24"/>
      <c r="M243" s="23"/>
      <c r="N243" s="23"/>
      <c r="O243" s="23"/>
      <c r="P243" s="23"/>
      <c r="Q243" s="23"/>
    </row>
    <row r="244" spans="1:17" ht="12.75" customHeight="1">
      <c r="A244" s="10"/>
      <c r="B244" s="11" t="s">
        <v>186</v>
      </c>
      <c r="C244" s="11"/>
      <c r="D244" s="11"/>
      <c r="E244" s="12">
        <f>ROUND(25000,2)</f>
        <v>25000</v>
      </c>
      <c r="F244" s="12">
        <f aca="true" t="shared" si="120" ref="F244:F245">ROUND(0,2)</f>
        <v>0</v>
      </c>
      <c r="G244" s="12">
        <f>ROUND(25000,2)</f>
        <v>25000</v>
      </c>
      <c r="H244" s="12">
        <f>ROUND(21553.12,2)</f>
        <v>21553.12</v>
      </c>
      <c r="I244" s="13">
        <f>ROUND(21553.12,2)</f>
        <v>21553.12</v>
      </c>
      <c r="J244" s="13"/>
      <c r="K244" s="13">
        <f>ROUND(21553.12,2)</f>
        <v>21553.12</v>
      </c>
      <c r="L244" s="13"/>
      <c r="M244" s="12">
        <f>ROUND(21553.12,2)</f>
        <v>21553.12</v>
      </c>
      <c r="N244" s="12">
        <f>ROUND(21553.12,2)</f>
        <v>21553.12</v>
      </c>
      <c r="O244" s="12">
        <f>ROUND(3446.88,2)</f>
        <v>3446.88</v>
      </c>
      <c r="P244" s="14">
        <v>13.78752</v>
      </c>
      <c r="Q244" s="14">
        <v>86.21247999999999</v>
      </c>
    </row>
    <row r="245" spans="1:17" ht="12.75" customHeight="1">
      <c r="A245" s="15" t="s">
        <v>187</v>
      </c>
      <c r="B245" s="15"/>
      <c r="C245" s="15"/>
      <c r="D245" s="15"/>
      <c r="E245" s="16" t="s">
        <v>178</v>
      </c>
      <c r="F245" s="17">
        <f t="shared" si="120"/>
        <v>0</v>
      </c>
      <c r="G245" s="17">
        <f>ROUND(0,2)</f>
        <v>0</v>
      </c>
      <c r="H245" s="17">
        <f>ROUND(0,2)</f>
        <v>0</v>
      </c>
      <c r="I245" s="17">
        <f>ROUND(0,2)</f>
        <v>0</v>
      </c>
      <c r="J245" s="17"/>
      <c r="K245" s="17">
        <f>ROUND(0,2)</f>
        <v>0</v>
      </c>
      <c r="L245" s="17"/>
      <c r="M245" s="17">
        <f>ROUND(0,2)</f>
        <v>0</v>
      </c>
      <c r="N245" s="17">
        <f>ROUND(0,2)</f>
        <v>0</v>
      </c>
      <c r="O245" s="17">
        <f>ROUND(3446.88,2)</f>
        <v>3446.88</v>
      </c>
      <c r="P245" s="18">
        <v>86.21247999999999</v>
      </c>
      <c r="Q245" s="18">
        <v>100</v>
      </c>
    </row>
    <row r="246" spans="1:17" ht="12.75" customHeight="1">
      <c r="A246" s="19" t="s">
        <v>124</v>
      </c>
      <c r="B246" s="19"/>
      <c r="C246" s="19"/>
      <c r="D246" s="19"/>
      <c r="E246" s="20">
        <f>SUM('DS1'!$A$61)</f>
        <v>25000</v>
      </c>
      <c r="F246" s="20">
        <v>0</v>
      </c>
      <c r="G246" s="20">
        <v>25000</v>
      </c>
      <c r="H246" s="20">
        <v>21553.12</v>
      </c>
      <c r="I246" s="21">
        <v>21553.12</v>
      </c>
      <c r="J246" s="21"/>
      <c r="K246" s="21">
        <v>21553.12</v>
      </c>
      <c r="L246" s="21"/>
      <c r="M246" s="20">
        <v>21553.12</v>
      </c>
      <c r="N246" s="20">
        <v>21553.12</v>
      </c>
      <c r="O246" s="20">
        <v>3446.88</v>
      </c>
      <c r="P246" s="22">
        <v>13.78752</v>
      </c>
      <c r="Q246" s="22">
        <v>86.21247999999999</v>
      </c>
    </row>
    <row r="247" spans="1:17" ht="12.75" customHeight="1">
      <c r="A247" s="23"/>
      <c r="B247" s="24"/>
      <c r="C247" s="24"/>
      <c r="D247" s="24"/>
      <c r="E247" s="23"/>
      <c r="F247" s="20">
        <v>0</v>
      </c>
      <c r="G247" s="20">
        <v>0</v>
      </c>
      <c r="H247" s="20">
        <v>0</v>
      </c>
      <c r="I247" s="21">
        <v>0</v>
      </c>
      <c r="J247" s="21"/>
      <c r="K247" s="21">
        <v>0</v>
      </c>
      <c r="L247" s="21"/>
      <c r="M247" s="20">
        <v>0</v>
      </c>
      <c r="N247" s="20">
        <v>0</v>
      </c>
      <c r="O247" s="20">
        <v>3446.880000000001</v>
      </c>
      <c r="P247" s="22">
        <v>86.21247999999999</v>
      </c>
      <c r="Q247" s="22">
        <v>100</v>
      </c>
    </row>
    <row r="248" spans="1:17" ht="20.25" customHeight="1">
      <c r="A248" s="23"/>
      <c r="B248" s="24"/>
      <c r="C248" s="24"/>
      <c r="D248" s="24"/>
      <c r="E248" s="23"/>
      <c r="F248" s="23"/>
      <c r="G248" s="23"/>
      <c r="H248" s="23"/>
      <c r="I248" s="24"/>
      <c r="J248" s="24"/>
      <c r="K248" s="24"/>
      <c r="L248" s="24"/>
      <c r="M248" s="23"/>
      <c r="N248" s="23"/>
      <c r="O248" s="23"/>
      <c r="P248" s="23"/>
      <c r="Q248" s="23"/>
    </row>
    <row r="249" spans="1:17" ht="12.75" customHeight="1">
      <c r="A249" s="10"/>
      <c r="B249" s="11" t="s">
        <v>188</v>
      </c>
      <c r="C249" s="11"/>
      <c r="D249" s="11"/>
      <c r="E249" s="12">
        <f>ROUND(750000,2)</f>
        <v>750000</v>
      </c>
      <c r="F249" s="12">
        <f>ROUND(-28539.18,2)</f>
        <v>-28539.18</v>
      </c>
      <c r="G249" s="12">
        <f>ROUND(721460.82,2)</f>
        <v>721460.82</v>
      </c>
      <c r="H249" s="12">
        <f>ROUND(379110.85,2)</f>
        <v>379110.85</v>
      </c>
      <c r="I249" s="13">
        <f>ROUND(379110.85,2)</f>
        <v>379110.85</v>
      </c>
      <c r="J249" s="13"/>
      <c r="K249" s="13">
        <f>ROUND(142072.56,2)</f>
        <v>142072.56</v>
      </c>
      <c r="L249" s="13"/>
      <c r="M249" s="12">
        <f>ROUND(142072.56,2)</f>
        <v>142072.56</v>
      </c>
      <c r="N249" s="12">
        <f>ROUND(103501.71,2)</f>
        <v>103501.71</v>
      </c>
      <c r="O249" s="12">
        <f>ROUND(324051.02,2)</f>
        <v>324051.02</v>
      </c>
      <c r="P249" s="14">
        <v>44.915955380640085</v>
      </c>
      <c r="Q249" s="14">
        <v>19.692345871256045</v>
      </c>
    </row>
    <row r="250" spans="1:17" ht="12.75" customHeight="1">
      <c r="A250" s="15" t="s">
        <v>189</v>
      </c>
      <c r="B250" s="15"/>
      <c r="C250" s="15"/>
      <c r="D250" s="15"/>
      <c r="E250" s="16" t="s">
        <v>178</v>
      </c>
      <c r="F250" s="17">
        <f aca="true" t="shared" si="121" ref="F250:F252">ROUND(0,2)</f>
        <v>0</v>
      </c>
      <c r="G250" s="17">
        <f>ROUND(18298.95,2)</f>
        <v>18298.95</v>
      </c>
      <c r="H250" s="17">
        <f>ROUND(0,2)</f>
        <v>0</v>
      </c>
      <c r="I250" s="17">
        <f>ROUND(237038.29,2)</f>
        <v>237038.29</v>
      </c>
      <c r="J250" s="17"/>
      <c r="K250" s="17">
        <f>ROUND(0,2)</f>
        <v>0</v>
      </c>
      <c r="L250" s="17"/>
      <c r="M250" s="17">
        <f>ROUND(38570.85,2)</f>
        <v>38570.85</v>
      </c>
      <c r="N250" s="17">
        <f>ROUND(0,2)</f>
        <v>0</v>
      </c>
      <c r="O250" s="17">
        <f>ROUND(579388.26,2)</f>
        <v>579388.26</v>
      </c>
      <c r="P250" s="18">
        <v>50.54811333333333</v>
      </c>
      <c r="Q250" s="18">
        <v>72.85130217967496</v>
      </c>
    </row>
    <row r="251" spans="1:17" ht="12.75" customHeight="1">
      <c r="A251" s="10"/>
      <c r="B251" s="11" t="s">
        <v>190</v>
      </c>
      <c r="C251" s="11"/>
      <c r="D251" s="11"/>
      <c r="E251" s="12">
        <f>ROUND(0,2)</f>
        <v>0</v>
      </c>
      <c r="F251" s="12">
        <f t="shared" si="121"/>
        <v>0</v>
      </c>
      <c r="G251" s="12">
        <f aca="true" t="shared" si="122" ref="G251:G252">ROUND(0,2)</f>
        <v>0</v>
      </c>
      <c r="H251" s="12">
        <f>ROUND(2363.63,2)</f>
        <v>2363.63</v>
      </c>
      <c r="I251" s="13">
        <f>ROUND(2363.63,2)</f>
        <v>2363.63</v>
      </c>
      <c r="J251" s="13"/>
      <c r="K251" s="13">
        <f>ROUND(2363.63,2)</f>
        <v>2363.63</v>
      </c>
      <c r="L251" s="13"/>
      <c r="M251" s="12">
        <f>ROUND(2363.63,2)</f>
        <v>2363.63</v>
      </c>
      <c r="N251" s="12">
        <f>ROUND(929.83,2)</f>
        <v>929.83</v>
      </c>
      <c r="O251" s="12">
        <f aca="true" t="shared" si="123" ref="O251:O252">ROUND(-2363.63,2)</f>
        <v>-2363.63</v>
      </c>
      <c r="P251" s="14">
        <v>0</v>
      </c>
      <c r="Q251" s="14">
        <v>0</v>
      </c>
    </row>
    <row r="252" spans="1:17" ht="12.75" customHeight="1">
      <c r="A252" s="15" t="s">
        <v>191</v>
      </c>
      <c r="B252" s="15"/>
      <c r="C252" s="15"/>
      <c r="D252" s="15"/>
      <c r="E252" s="16" t="s">
        <v>178</v>
      </c>
      <c r="F252" s="17">
        <f t="shared" si="121"/>
        <v>0</v>
      </c>
      <c r="G252" s="17">
        <f t="shared" si="122"/>
        <v>0</v>
      </c>
      <c r="H252" s="17">
        <f>ROUND(0,2)</f>
        <v>0</v>
      </c>
      <c r="I252" s="17">
        <f>ROUND(0,2)</f>
        <v>0</v>
      </c>
      <c r="J252" s="17"/>
      <c r="K252" s="17">
        <f>ROUND(0,2)</f>
        <v>0</v>
      </c>
      <c r="L252" s="17"/>
      <c r="M252" s="17">
        <f>ROUND(1433.8,2)</f>
        <v>1433.8</v>
      </c>
      <c r="N252" s="17">
        <f>ROUND(0,2)</f>
        <v>0</v>
      </c>
      <c r="O252" s="17">
        <f t="shared" si="123"/>
        <v>-2363.63</v>
      </c>
      <c r="P252" s="18">
        <v>0</v>
      </c>
      <c r="Q252" s="18">
        <v>39.339067451335445</v>
      </c>
    </row>
    <row r="253" spans="1:17" ht="12.75" customHeight="1">
      <c r="A253" s="10" t="s">
        <v>83</v>
      </c>
      <c r="B253" s="11" t="s">
        <v>192</v>
      </c>
      <c r="C253" s="11"/>
      <c r="D253" s="11"/>
      <c r="E253" s="12">
        <f>ROUND(0,2)</f>
        <v>0</v>
      </c>
      <c r="F253" s="12">
        <f aca="true" t="shared" si="124" ref="F253:F254">ROUND(80704.95,2)</f>
        <v>80704.95</v>
      </c>
      <c r="G253" s="12">
        <f>ROUND(80704.95,2)</f>
        <v>80704.95</v>
      </c>
      <c r="H253" s="12">
        <f>ROUND(80704.8,2)</f>
        <v>80704.8</v>
      </c>
      <c r="I253" s="13">
        <f>ROUND(80704.8,2)</f>
        <v>80704.8</v>
      </c>
      <c r="J253" s="13"/>
      <c r="K253" s="13">
        <f>ROUND(76427.56,2)</f>
        <v>76427.56</v>
      </c>
      <c r="L253" s="13"/>
      <c r="M253" s="12">
        <f>ROUND(76427.56,2)</f>
        <v>76427.56</v>
      </c>
      <c r="N253" s="12">
        <f>ROUND(76427.56,2)</f>
        <v>76427.56</v>
      </c>
      <c r="O253" s="12">
        <f>ROUND(0.15,2)</f>
        <v>0.15</v>
      </c>
      <c r="P253" s="14">
        <v>0.00018586220547810265</v>
      </c>
      <c r="Q253" s="14">
        <v>94.69996573940013</v>
      </c>
    </row>
    <row r="254" spans="1:17" ht="12.75" customHeight="1">
      <c r="A254" s="15" t="s">
        <v>189</v>
      </c>
      <c r="B254" s="15"/>
      <c r="C254" s="15"/>
      <c r="D254" s="15"/>
      <c r="E254" s="16" t="s">
        <v>193</v>
      </c>
      <c r="F254" s="17">
        <f t="shared" si="124"/>
        <v>80704.95</v>
      </c>
      <c r="G254" s="17">
        <f>ROUND(0,2)</f>
        <v>0</v>
      </c>
      <c r="H254" s="17">
        <f>ROUND(0,2)</f>
        <v>0</v>
      </c>
      <c r="I254" s="17">
        <f>ROUND(4277.24000000001,2)</f>
        <v>4277.24</v>
      </c>
      <c r="J254" s="17"/>
      <c r="K254" s="17">
        <f>ROUND(0,2)</f>
        <v>0</v>
      </c>
      <c r="L254" s="17"/>
      <c r="M254" s="17">
        <f>ROUND(0,2)</f>
        <v>0</v>
      </c>
      <c r="N254" s="17">
        <f>ROUND(0,2)</f>
        <v>0</v>
      </c>
      <c r="O254" s="17">
        <f>ROUND(4277.39,2)</f>
        <v>4277.39</v>
      </c>
      <c r="P254" s="18">
        <v>99.99981413779453</v>
      </c>
      <c r="Q254" s="18">
        <v>100</v>
      </c>
    </row>
    <row r="255" spans="1:17" ht="12.75" customHeight="1">
      <c r="A255" s="19" t="s">
        <v>37</v>
      </c>
      <c r="B255" s="19"/>
      <c r="C255" s="19"/>
      <c r="D255" s="19"/>
      <c r="E255" s="20">
        <f>SUM('DS1'!$A$62:$A$64)</f>
        <v>750000</v>
      </c>
      <c r="F255" s="20">
        <v>52165.77</v>
      </c>
      <c r="G255" s="20">
        <v>802165.7699999999</v>
      </c>
      <c r="H255" s="20">
        <v>462179.28</v>
      </c>
      <c r="I255" s="21">
        <v>462179.28</v>
      </c>
      <c r="J255" s="21"/>
      <c r="K255" s="21">
        <v>220863.75</v>
      </c>
      <c r="L255" s="21"/>
      <c r="M255" s="20">
        <v>220863.75</v>
      </c>
      <c r="N255" s="20">
        <v>180859.1</v>
      </c>
      <c r="O255" s="20">
        <v>321687.54</v>
      </c>
      <c r="P255" s="22">
        <v>40.10237684412787</v>
      </c>
      <c r="Q255" s="22">
        <v>27.53342990439495</v>
      </c>
    </row>
    <row r="256" spans="1:17" ht="12.75" customHeight="1">
      <c r="A256" s="23"/>
      <c r="B256" s="24"/>
      <c r="C256" s="24"/>
      <c r="D256" s="24"/>
      <c r="E256" s="23"/>
      <c r="F256" s="20">
        <v>80704.95</v>
      </c>
      <c r="G256" s="20">
        <v>18298.95000000001</v>
      </c>
      <c r="H256" s="20">
        <v>0</v>
      </c>
      <c r="I256" s="21">
        <v>241315.52999999997</v>
      </c>
      <c r="J256" s="21"/>
      <c r="K256" s="21">
        <v>0</v>
      </c>
      <c r="L256" s="21"/>
      <c r="M256" s="20">
        <v>40004.649999999994</v>
      </c>
      <c r="N256" s="20">
        <v>0</v>
      </c>
      <c r="O256" s="20">
        <v>581302.02</v>
      </c>
      <c r="P256" s="22">
        <v>57.6164300802813</v>
      </c>
      <c r="Q256" s="22">
        <v>81.88718157687715</v>
      </c>
    </row>
    <row r="257" spans="1:17" ht="20.25" customHeight="1">
      <c r="A257" s="23"/>
      <c r="B257" s="24"/>
      <c r="C257" s="24"/>
      <c r="D257" s="24"/>
      <c r="E257" s="23"/>
      <c r="F257" s="23"/>
      <c r="G257" s="23"/>
      <c r="H257" s="23"/>
      <c r="I257" s="24"/>
      <c r="J257" s="24"/>
      <c r="K257" s="24"/>
      <c r="L257" s="24"/>
      <c r="M257" s="23"/>
      <c r="N257" s="23"/>
      <c r="O257" s="23"/>
      <c r="P257" s="23"/>
      <c r="Q257" s="23"/>
    </row>
    <row r="258" spans="1:17" ht="12.75" customHeight="1">
      <c r="A258" s="10"/>
      <c r="B258" s="11" t="s">
        <v>194</v>
      </c>
      <c r="C258" s="11"/>
      <c r="D258" s="11"/>
      <c r="E258" s="12">
        <f>ROUND(0,2)</f>
        <v>0</v>
      </c>
      <c r="F258" s="12">
        <f>ROUND(5759.86,2)</f>
        <v>5759.86</v>
      </c>
      <c r="G258" s="12">
        <f>ROUND(5759.86,2)</f>
        <v>5759.86</v>
      </c>
      <c r="H258" s="12">
        <f>ROUND(5759.86,2)</f>
        <v>5759.86</v>
      </c>
      <c r="I258" s="13">
        <f>ROUND(5759.86,2)</f>
        <v>5759.86</v>
      </c>
      <c r="J258" s="13"/>
      <c r="K258" s="13">
        <f>ROUND(5759.86,2)</f>
        <v>5759.86</v>
      </c>
      <c r="L258" s="13"/>
      <c r="M258" s="12">
        <f>ROUND(5759.86,2)</f>
        <v>5759.86</v>
      </c>
      <c r="N258" s="12">
        <f>ROUND(5759.86,2)</f>
        <v>5759.86</v>
      </c>
      <c r="O258" s="12">
        <f aca="true" t="shared" si="125" ref="O258:O259">ROUND(0,2)</f>
        <v>0</v>
      </c>
      <c r="P258" s="14">
        <v>0</v>
      </c>
      <c r="Q258" s="14">
        <v>100</v>
      </c>
    </row>
    <row r="259" spans="1:17" ht="12.75" customHeight="1">
      <c r="A259" s="15" t="s">
        <v>195</v>
      </c>
      <c r="B259" s="15"/>
      <c r="C259" s="15"/>
      <c r="D259" s="15"/>
      <c r="E259" s="16" t="s">
        <v>196</v>
      </c>
      <c r="F259" s="17">
        <f>ROUND(0,2)</f>
        <v>0</v>
      </c>
      <c r="G259" s="17">
        <f>ROUND(0,2)</f>
        <v>0</v>
      </c>
      <c r="H259" s="17">
        <f>ROUND(0,2)</f>
        <v>0</v>
      </c>
      <c r="I259" s="17">
        <f>ROUND(0,2)</f>
        <v>0</v>
      </c>
      <c r="J259" s="17"/>
      <c r="K259" s="17">
        <f>ROUND(0,2)</f>
        <v>0</v>
      </c>
      <c r="L259" s="17"/>
      <c r="M259" s="17">
        <f>ROUND(0,2)</f>
        <v>0</v>
      </c>
      <c r="N259" s="17">
        <f>ROUND(0,2)</f>
        <v>0</v>
      </c>
      <c r="O259" s="17">
        <f t="shared" si="125"/>
        <v>0</v>
      </c>
      <c r="P259" s="18">
        <v>100</v>
      </c>
      <c r="Q259" s="18">
        <v>100</v>
      </c>
    </row>
    <row r="260" spans="1:17" ht="12.75" customHeight="1">
      <c r="A260" s="19" t="s">
        <v>197</v>
      </c>
      <c r="B260" s="19"/>
      <c r="C260" s="19"/>
      <c r="D260" s="19"/>
      <c r="E260" s="20">
        <f>SUM('DS1'!$A$65)</f>
        <v>0</v>
      </c>
      <c r="F260" s="20">
        <v>5759.86</v>
      </c>
      <c r="G260" s="20">
        <v>5759.86</v>
      </c>
      <c r="H260" s="20">
        <v>5759.86</v>
      </c>
      <c r="I260" s="21">
        <v>5759.86</v>
      </c>
      <c r="J260" s="21"/>
      <c r="K260" s="21">
        <v>5759.86</v>
      </c>
      <c r="L260" s="21"/>
      <c r="M260" s="20">
        <v>5759.86</v>
      </c>
      <c r="N260" s="20">
        <v>5759.86</v>
      </c>
      <c r="O260" s="20">
        <v>0</v>
      </c>
      <c r="P260" s="22">
        <v>0</v>
      </c>
      <c r="Q260" s="22">
        <v>100</v>
      </c>
    </row>
    <row r="261" spans="1:17" ht="12.75" customHeight="1">
      <c r="A261" s="23"/>
      <c r="B261" s="24"/>
      <c r="C261" s="24"/>
      <c r="D261" s="24"/>
      <c r="E261" s="23"/>
      <c r="F261" s="20">
        <v>0</v>
      </c>
      <c r="G261" s="20">
        <v>0</v>
      </c>
      <c r="H261" s="20">
        <v>0</v>
      </c>
      <c r="I261" s="21">
        <v>0</v>
      </c>
      <c r="J261" s="21"/>
      <c r="K261" s="21">
        <v>0</v>
      </c>
      <c r="L261" s="21"/>
      <c r="M261" s="20">
        <v>0</v>
      </c>
      <c r="N261" s="20">
        <v>0</v>
      </c>
      <c r="O261" s="20">
        <v>0</v>
      </c>
      <c r="P261" s="22">
        <v>100</v>
      </c>
      <c r="Q261" s="22">
        <v>100</v>
      </c>
    </row>
    <row r="262" spans="1:17" ht="20.25" customHeight="1">
      <c r="A262" s="23"/>
      <c r="B262" s="24"/>
      <c r="C262" s="24"/>
      <c r="D262" s="24"/>
      <c r="E262" s="23"/>
      <c r="F262" s="23"/>
      <c r="G262" s="23"/>
      <c r="H262" s="23"/>
      <c r="I262" s="24"/>
      <c r="J262" s="24"/>
      <c r="K262" s="24"/>
      <c r="L262" s="24"/>
      <c r="M262" s="23"/>
      <c r="N262" s="23"/>
      <c r="O262" s="23"/>
      <c r="P262" s="23"/>
      <c r="Q262" s="23"/>
    </row>
    <row r="263" spans="1:17" ht="12.75" customHeight="1">
      <c r="A263" s="10" t="s">
        <v>83</v>
      </c>
      <c r="B263" s="11" t="s">
        <v>198</v>
      </c>
      <c r="C263" s="11"/>
      <c r="D263" s="11"/>
      <c r="E263" s="12">
        <f>ROUND(0,2)</f>
        <v>0</v>
      </c>
      <c r="F263" s="12">
        <f aca="true" t="shared" si="126" ref="F263:F264">ROUND(29668.25,2)</f>
        <v>29668.25</v>
      </c>
      <c r="G263" s="12">
        <f>ROUND(29668.25,2)</f>
        <v>29668.25</v>
      </c>
      <c r="H263" s="12">
        <f aca="true" t="shared" si="127" ref="H263:H264">ROUND(0,2)</f>
        <v>0</v>
      </c>
      <c r="I263" s="13">
        <f aca="true" t="shared" si="128" ref="I263:I264">ROUND(0,2)</f>
        <v>0</v>
      </c>
      <c r="J263" s="13"/>
      <c r="K263" s="13">
        <f aca="true" t="shared" si="129" ref="K263:K264">ROUND(0,2)</f>
        <v>0</v>
      </c>
      <c r="L263" s="13"/>
      <c r="M263" s="12">
        <f aca="true" t="shared" si="130" ref="M263:M264">ROUND(0,2)</f>
        <v>0</v>
      </c>
      <c r="N263" s="12">
        <f aca="true" t="shared" si="131" ref="N263:N264">ROUND(0,2)</f>
        <v>0</v>
      </c>
      <c r="O263" s="12">
        <f aca="true" t="shared" si="132" ref="O263:O264">ROUND(29668.25,2)</f>
        <v>29668.25</v>
      </c>
      <c r="P263" s="14">
        <v>100</v>
      </c>
      <c r="Q263" s="14">
        <v>0</v>
      </c>
    </row>
    <row r="264" spans="1:17" ht="12.75" customHeight="1">
      <c r="A264" s="15" t="s">
        <v>199</v>
      </c>
      <c r="B264" s="15"/>
      <c r="C264" s="15"/>
      <c r="D264" s="15"/>
      <c r="E264" s="16" t="s">
        <v>200</v>
      </c>
      <c r="F264" s="17">
        <f t="shared" si="126"/>
        <v>29668.25</v>
      </c>
      <c r="G264" s="17">
        <f>ROUND(0,2)</f>
        <v>0</v>
      </c>
      <c r="H264" s="17">
        <f t="shared" si="127"/>
        <v>0</v>
      </c>
      <c r="I264" s="17">
        <f t="shared" si="128"/>
        <v>0</v>
      </c>
      <c r="J264" s="17"/>
      <c r="K264" s="17">
        <f t="shared" si="129"/>
        <v>0</v>
      </c>
      <c r="L264" s="17"/>
      <c r="M264" s="17">
        <f t="shared" si="130"/>
        <v>0</v>
      </c>
      <c r="N264" s="17">
        <f t="shared" si="131"/>
        <v>0</v>
      </c>
      <c r="O264" s="17">
        <f t="shared" si="132"/>
        <v>29668.25</v>
      </c>
      <c r="P264" s="18">
        <v>0</v>
      </c>
      <c r="Q264" s="18">
        <v>0</v>
      </c>
    </row>
    <row r="265" spans="1:17" ht="12.75" customHeight="1">
      <c r="A265" s="19" t="s">
        <v>201</v>
      </c>
      <c r="B265" s="19"/>
      <c r="C265" s="19"/>
      <c r="D265" s="19"/>
      <c r="E265" s="20">
        <f>SUM('DS1'!$A$66)</f>
        <v>0</v>
      </c>
      <c r="F265" s="20">
        <v>29668.25</v>
      </c>
      <c r="G265" s="20">
        <v>29668.25</v>
      </c>
      <c r="H265" s="20">
        <v>0</v>
      </c>
      <c r="I265" s="21">
        <v>0</v>
      </c>
      <c r="J265" s="21"/>
      <c r="K265" s="21">
        <v>0</v>
      </c>
      <c r="L265" s="21"/>
      <c r="M265" s="20">
        <v>0</v>
      </c>
      <c r="N265" s="20">
        <v>0</v>
      </c>
      <c r="O265" s="20">
        <v>29668.25</v>
      </c>
      <c r="P265" s="22">
        <v>100</v>
      </c>
      <c r="Q265" s="22">
        <v>0</v>
      </c>
    </row>
    <row r="266" spans="1:17" ht="12.75" customHeight="1">
      <c r="A266" s="23"/>
      <c r="B266" s="24"/>
      <c r="C266" s="24"/>
      <c r="D266" s="24"/>
      <c r="E266" s="23"/>
      <c r="F266" s="20">
        <v>29668.25</v>
      </c>
      <c r="G266" s="20">
        <v>0</v>
      </c>
      <c r="H266" s="20">
        <v>0</v>
      </c>
      <c r="I266" s="21">
        <v>0</v>
      </c>
      <c r="J266" s="21"/>
      <c r="K266" s="21">
        <v>0</v>
      </c>
      <c r="L266" s="21"/>
      <c r="M266" s="20">
        <v>0</v>
      </c>
      <c r="N266" s="20">
        <v>0</v>
      </c>
      <c r="O266" s="20">
        <v>29668.25</v>
      </c>
      <c r="P266" s="22">
        <v>0</v>
      </c>
      <c r="Q266" s="22">
        <v>0</v>
      </c>
    </row>
    <row r="267" spans="1:17" ht="20.25" customHeight="1">
      <c r="A267" s="23"/>
      <c r="B267" s="24"/>
      <c r="C267" s="24"/>
      <c r="D267" s="24"/>
      <c r="E267" s="23"/>
      <c r="F267" s="23"/>
      <c r="G267" s="23"/>
      <c r="H267" s="23"/>
      <c r="I267" s="24"/>
      <c r="J267" s="24"/>
      <c r="K267" s="24"/>
      <c r="L267" s="24"/>
      <c r="M267" s="23"/>
      <c r="N267" s="23"/>
      <c r="O267" s="23"/>
      <c r="P267" s="23"/>
      <c r="Q267" s="23"/>
    </row>
    <row r="268" spans="1:17" ht="12.75" customHeight="1">
      <c r="A268" s="10"/>
      <c r="B268" s="11" t="s">
        <v>202</v>
      </c>
      <c r="C268" s="11"/>
      <c r="D268" s="11"/>
      <c r="E268" s="12">
        <f>ROUND(0,2)</f>
        <v>0</v>
      </c>
      <c r="F268" s="12">
        <f>ROUND(11323.85,2)</f>
        <v>11323.85</v>
      </c>
      <c r="G268" s="12">
        <f>ROUND(11323.85,2)</f>
        <v>11323.85</v>
      </c>
      <c r="H268" s="12">
        <f>ROUND(11323.85,2)</f>
        <v>11323.85</v>
      </c>
      <c r="I268" s="13">
        <f>ROUND(11323.85,2)</f>
        <v>11323.85</v>
      </c>
      <c r="J268" s="13"/>
      <c r="K268" s="13">
        <f>ROUND(11323.85,2)</f>
        <v>11323.85</v>
      </c>
      <c r="L268" s="13"/>
      <c r="M268" s="12">
        <f>ROUND(11323.85,2)</f>
        <v>11323.85</v>
      </c>
      <c r="N268" s="12">
        <f>ROUND(11323.85,2)</f>
        <v>11323.85</v>
      </c>
      <c r="O268" s="12">
        <f aca="true" t="shared" si="133" ref="O268:O269">ROUND(0,2)</f>
        <v>0</v>
      </c>
      <c r="P268" s="14">
        <v>0</v>
      </c>
      <c r="Q268" s="14">
        <v>100</v>
      </c>
    </row>
    <row r="269" spans="1:17" ht="12.75" customHeight="1">
      <c r="A269" s="15" t="s">
        <v>203</v>
      </c>
      <c r="B269" s="15"/>
      <c r="C269" s="15"/>
      <c r="D269" s="15"/>
      <c r="E269" s="16" t="s">
        <v>204</v>
      </c>
      <c r="F269" s="17">
        <f aca="true" t="shared" si="134" ref="F269:F271">ROUND(0,2)</f>
        <v>0</v>
      </c>
      <c r="G269" s="17">
        <f>ROUND(0,2)</f>
        <v>0</v>
      </c>
      <c r="H269" s="17">
        <f>ROUND(0,2)</f>
        <v>0</v>
      </c>
      <c r="I269" s="17">
        <f>ROUND(0,2)</f>
        <v>0</v>
      </c>
      <c r="J269" s="17"/>
      <c r="K269" s="17">
        <f aca="true" t="shared" si="135" ref="K269:K271">ROUND(0,2)</f>
        <v>0</v>
      </c>
      <c r="L269" s="17"/>
      <c r="M269" s="17">
        <f aca="true" t="shared" si="136" ref="M269:M271">ROUND(0,2)</f>
        <v>0</v>
      </c>
      <c r="N269" s="17">
        <f aca="true" t="shared" si="137" ref="N269:N271">ROUND(0,2)</f>
        <v>0</v>
      </c>
      <c r="O269" s="17">
        <f t="shared" si="133"/>
        <v>0</v>
      </c>
      <c r="P269" s="18">
        <v>100</v>
      </c>
      <c r="Q269" s="18">
        <v>100</v>
      </c>
    </row>
    <row r="270" spans="1:17" ht="12.75" customHeight="1">
      <c r="A270" s="10"/>
      <c r="B270" s="11" t="s">
        <v>205</v>
      </c>
      <c r="C270" s="11"/>
      <c r="D270" s="11"/>
      <c r="E270" s="12">
        <f>ROUND(455598.12,2)</f>
        <v>455598.12</v>
      </c>
      <c r="F270" s="12">
        <f t="shared" si="134"/>
        <v>0</v>
      </c>
      <c r="G270" s="12">
        <f>ROUND(455598.12,2)</f>
        <v>455598.12</v>
      </c>
      <c r="H270" s="12">
        <f>ROUND(354455.34,2)</f>
        <v>354455.34</v>
      </c>
      <c r="I270" s="13">
        <f aca="true" t="shared" si="138" ref="I270:I271">ROUND(354455.34,2)</f>
        <v>354455.34</v>
      </c>
      <c r="J270" s="13"/>
      <c r="K270" s="13">
        <f t="shared" si="135"/>
        <v>0</v>
      </c>
      <c r="L270" s="13"/>
      <c r="M270" s="12">
        <f t="shared" si="136"/>
        <v>0</v>
      </c>
      <c r="N270" s="12">
        <f t="shared" si="137"/>
        <v>0</v>
      </c>
      <c r="O270" s="12">
        <f>ROUND(101142.78,2)</f>
        <v>101142.78</v>
      </c>
      <c r="P270" s="14">
        <v>22.199999420541946</v>
      </c>
      <c r="Q270" s="14">
        <v>0</v>
      </c>
    </row>
    <row r="271" spans="1:17" ht="12.75" customHeight="1">
      <c r="A271" s="15" t="s">
        <v>206</v>
      </c>
      <c r="B271" s="15"/>
      <c r="C271" s="15"/>
      <c r="D271" s="15"/>
      <c r="E271" s="16" t="s">
        <v>204</v>
      </c>
      <c r="F271" s="17">
        <f t="shared" si="134"/>
        <v>0</v>
      </c>
      <c r="G271" s="17">
        <f>ROUND(0,2)</f>
        <v>0</v>
      </c>
      <c r="H271" s="17">
        <f>ROUND(0,2)</f>
        <v>0</v>
      </c>
      <c r="I271" s="17">
        <f t="shared" si="138"/>
        <v>354455.34</v>
      </c>
      <c r="J271" s="17"/>
      <c r="K271" s="17">
        <f t="shared" si="135"/>
        <v>0</v>
      </c>
      <c r="L271" s="17"/>
      <c r="M271" s="17">
        <f t="shared" si="136"/>
        <v>0</v>
      </c>
      <c r="N271" s="17">
        <f t="shared" si="137"/>
        <v>0</v>
      </c>
      <c r="O271" s="17">
        <f>ROUND(455598.12,2)</f>
        <v>455598.12</v>
      </c>
      <c r="P271" s="18">
        <v>77.80000057945806</v>
      </c>
      <c r="Q271" s="18">
        <v>0</v>
      </c>
    </row>
    <row r="272" spans="1:17" ht="12.75" customHeight="1">
      <c r="A272" s="10" t="s">
        <v>83</v>
      </c>
      <c r="B272" s="11" t="s">
        <v>207</v>
      </c>
      <c r="C272" s="11"/>
      <c r="D272" s="11"/>
      <c r="E272" s="12">
        <f>ROUND(0,2)</f>
        <v>0</v>
      </c>
      <c r="F272" s="12">
        <f aca="true" t="shared" si="139" ref="F272:F273">ROUND(2414.87,2)</f>
        <v>2414.87</v>
      </c>
      <c r="G272" s="12">
        <f>ROUND(2414.87,2)</f>
        <v>2414.87</v>
      </c>
      <c r="H272" s="12">
        <f>ROUND(2414.87,2)</f>
        <v>2414.87</v>
      </c>
      <c r="I272" s="13">
        <f>ROUND(2414.87,2)</f>
        <v>2414.87</v>
      </c>
      <c r="J272" s="13"/>
      <c r="K272" s="13">
        <f>ROUND(2414.87,2)</f>
        <v>2414.87</v>
      </c>
      <c r="L272" s="13"/>
      <c r="M272" s="12">
        <f>ROUND(2414.87,2)</f>
        <v>2414.87</v>
      </c>
      <c r="N272" s="12">
        <f>ROUND(2414.87,2)</f>
        <v>2414.87</v>
      </c>
      <c r="O272" s="12">
        <f aca="true" t="shared" si="140" ref="O272:O273">ROUND(0,2)</f>
        <v>0</v>
      </c>
      <c r="P272" s="14">
        <v>0</v>
      </c>
      <c r="Q272" s="14">
        <v>100</v>
      </c>
    </row>
    <row r="273" spans="1:17" ht="12.75" customHeight="1">
      <c r="A273" s="15" t="s">
        <v>208</v>
      </c>
      <c r="B273" s="15"/>
      <c r="C273" s="15"/>
      <c r="D273" s="15"/>
      <c r="E273" s="16" t="s">
        <v>209</v>
      </c>
      <c r="F273" s="17">
        <f t="shared" si="139"/>
        <v>2414.87</v>
      </c>
      <c r="G273" s="17">
        <f>ROUND(0,2)</f>
        <v>0</v>
      </c>
      <c r="H273" s="17">
        <f>ROUND(0,2)</f>
        <v>0</v>
      </c>
      <c r="I273" s="17">
        <f>ROUND(0,2)</f>
        <v>0</v>
      </c>
      <c r="J273" s="17"/>
      <c r="K273" s="17">
        <f>ROUND(0,2)</f>
        <v>0</v>
      </c>
      <c r="L273" s="17"/>
      <c r="M273" s="17">
        <f>ROUND(0,2)</f>
        <v>0</v>
      </c>
      <c r="N273" s="17">
        <f>ROUND(0,2)</f>
        <v>0</v>
      </c>
      <c r="O273" s="17">
        <f t="shared" si="140"/>
        <v>0</v>
      </c>
      <c r="P273" s="18">
        <v>100</v>
      </c>
      <c r="Q273" s="18">
        <v>100</v>
      </c>
    </row>
    <row r="274" spans="1:17" ht="12.75" customHeight="1">
      <c r="A274" s="19" t="s">
        <v>210</v>
      </c>
      <c r="B274" s="19"/>
      <c r="C274" s="19"/>
      <c r="D274" s="19"/>
      <c r="E274" s="20">
        <f>SUM('DS1'!$A$67:$A$69)</f>
        <v>455598.12</v>
      </c>
      <c r="F274" s="20">
        <v>13738.72</v>
      </c>
      <c r="G274" s="20">
        <v>469336.84</v>
      </c>
      <c r="H274" s="20">
        <v>368194.06</v>
      </c>
      <c r="I274" s="21">
        <v>368194.06</v>
      </c>
      <c r="J274" s="21"/>
      <c r="K274" s="21">
        <v>13738.72</v>
      </c>
      <c r="L274" s="21"/>
      <c r="M274" s="20">
        <v>13738.72</v>
      </c>
      <c r="N274" s="20">
        <v>13738.72</v>
      </c>
      <c r="O274" s="20">
        <v>101142.78</v>
      </c>
      <c r="P274" s="22">
        <v>21.55014722475227</v>
      </c>
      <c r="Q274" s="22">
        <v>2.9272622196033025</v>
      </c>
    </row>
    <row r="275" spans="1:17" ht="12.75" customHeight="1">
      <c r="A275" s="23"/>
      <c r="B275" s="24"/>
      <c r="C275" s="24"/>
      <c r="D275" s="24"/>
      <c r="E275" s="23"/>
      <c r="F275" s="20">
        <v>2414.87</v>
      </c>
      <c r="G275" s="20">
        <v>0</v>
      </c>
      <c r="H275" s="20">
        <v>0</v>
      </c>
      <c r="I275" s="21">
        <v>354455.34</v>
      </c>
      <c r="J275" s="21"/>
      <c r="K275" s="21">
        <v>0</v>
      </c>
      <c r="L275" s="21"/>
      <c r="M275" s="20">
        <v>0</v>
      </c>
      <c r="N275" s="20">
        <v>0</v>
      </c>
      <c r="O275" s="20">
        <v>455598.12</v>
      </c>
      <c r="P275" s="22">
        <v>78.44985277524773</v>
      </c>
      <c r="Q275" s="22">
        <v>100</v>
      </c>
    </row>
    <row r="276" spans="1:17" ht="20.25" customHeight="1">
      <c r="A276" s="23"/>
      <c r="B276" s="24"/>
      <c r="C276" s="24"/>
      <c r="D276" s="24"/>
      <c r="E276" s="23"/>
      <c r="F276" s="23"/>
      <c r="G276" s="23"/>
      <c r="H276" s="23"/>
      <c r="I276" s="24"/>
      <c r="J276" s="24"/>
      <c r="K276" s="24"/>
      <c r="L276" s="24"/>
      <c r="M276" s="23"/>
      <c r="N276" s="23"/>
      <c r="O276" s="23"/>
      <c r="P276" s="23"/>
      <c r="Q276" s="23"/>
    </row>
    <row r="277" spans="1:17" ht="12.75" customHeight="1">
      <c r="A277" s="19" t="s">
        <v>211</v>
      </c>
      <c r="B277" s="19"/>
      <c r="C277" s="19"/>
      <c r="D277" s="19"/>
      <c r="E277" s="20">
        <f>SUM('DS1'!$A$41:$A$69)</f>
        <v>3344454.18</v>
      </c>
      <c r="F277" s="20">
        <v>-1219.829999999988</v>
      </c>
      <c r="G277" s="20">
        <v>3343234.3500000006</v>
      </c>
      <c r="H277" s="20">
        <v>2045117.6</v>
      </c>
      <c r="I277" s="21">
        <v>2045117.6</v>
      </c>
      <c r="J277" s="21"/>
      <c r="K277" s="21">
        <v>1449346.73</v>
      </c>
      <c r="L277" s="21"/>
      <c r="M277" s="20">
        <v>1449346.73</v>
      </c>
      <c r="N277" s="20">
        <v>1400046.11</v>
      </c>
      <c r="O277" s="20">
        <v>1279817.8</v>
      </c>
      <c r="P277" s="22">
        <v>38.2808282644021</v>
      </c>
      <c r="Q277" s="22">
        <v>43.351634323809805</v>
      </c>
    </row>
    <row r="278" spans="1:17" ht="12.75" customHeight="1">
      <c r="A278" s="23"/>
      <c r="B278" s="24"/>
      <c r="C278" s="24"/>
      <c r="D278" s="24"/>
      <c r="E278" s="23"/>
      <c r="F278" s="20">
        <v>112788.07</v>
      </c>
      <c r="G278" s="20">
        <v>18298.95000000001</v>
      </c>
      <c r="H278" s="20">
        <v>0</v>
      </c>
      <c r="I278" s="21">
        <v>595770.87</v>
      </c>
      <c r="J278" s="21"/>
      <c r="K278" s="21">
        <v>0</v>
      </c>
      <c r="L278" s="21"/>
      <c r="M278" s="20">
        <v>49300.62</v>
      </c>
      <c r="N278" s="20">
        <v>0</v>
      </c>
      <c r="O278" s="20">
        <v>1893887.62</v>
      </c>
      <c r="P278" s="22">
        <v>61.17182901043117</v>
      </c>
      <c r="Q278" s="22">
        <v>96.59842472615232</v>
      </c>
    </row>
    <row r="279" spans="1:17" ht="18" customHeight="1">
      <c r="A279" s="23"/>
      <c r="B279" s="24"/>
      <c r="C279" s="24"/>
      <c r="D279" s="24"/>
      <c r="E279" s="23"/>
      <c r="F279" s="23"/>
      <c r="G279" s="23"/>
      <c r="H279" s="23"/>
      <c r="I279" s="24"/>
      <c r="J279" s="24"/>
      <c r="K279" s="24"/>
      <c r="L279" s="24"/>
      <c r="M279" s="23"/>
      <c r="N279" s="23"/>
      <c r="O279" s="23"/>
      <c r="P279" s="23"/>
      <c r="Q279" s="23"/>
    </row>
    <row r="280" spans="1:17" ht="12.75" customHeight="1">
      <c r="A280" s="10"/>
      <c r="B280" s="11" t="s">
        <v>212</v>
      </c>
      <c r="C280" s="11"/>
      <c r="D280" s="11"/>
      <c r="E280" s="12">
        <f>ROUND(20000,2)</f>
        <v>20000</v>
      </c>
      <c r="F280" s="12">
        <f>ROUND(-20000,2)</f>
        <v>-20000</v>
      </c>
      <c r="G280" s="12">
        <f aca="true" t="shared" si="141" ref="G280:G281">ROUND(0,2)</f>
        <v>0</v>
      </c>
      <c r="H280" s="12">
        <f aca="true" t="shared" si="142" ref="H280:H281">ROUND(0,2)</f>
        <v>0</v>
      </c>
      <c r="I280" s="13">
        <f aca="true" t="shared" si="143" ref="I280:I281">ROUND(0,2)</f>
        <v>0</v>
      </c>
      <c r="J280" s="13"/>
      <c r="K280" s="13">
        <f aca="true" t="shared" si="144" ref="K280:K281">ROUND(0,2)</f>
        <v>0</v>
      </c>
      <c r="L280" s="13"/>
      <c r="M280" s="12">
        <f aca="true" t="shared" si="145" ref="M280:M281">ROUND(0,2)</f>
        <v>0</v>
      </c>
      <c r="N280" s="12">
        <f aca="true" t="shared" si="146" ref="N280:N281">ROUND(0,2)</f>
        <v>0</v>
      </c>
      <c r="O280" s="12">
        <f aca="true" t="shared" si="147" ref="O280:O281">ROUND(0,2)</f>
        <v>0</v>
      </c>
      <c r="P280" s="14">
        <v>0</v>
      </c>
      <c r="Q280" s="14">
        <v>0</v>
      </c>
    </row>
    <row r="281" spans="1:17" ht="12.75" customHeight="1">
      <c r="A281" s="15" t="s">
        <v>213</v>
      </c>
      <c r="B281" s="15"/>
      <c r="C281" s="15"/>
      <c r="D281" s="15"/>
      <c r="E281" s="16" t="s">
        <v>178</v>
      </c>
      <c r="F281" s="17">
        <f>ROUND(0,2)</f>
        <v>0</v>
      </c>
      <c r="G281" s="17">
        <f t="shared" si="141"/>
        <v>0</v>
      </c>
      <c r="H281" s="17">
        <f t="shared" si="142"/>
        <v>0</v>
      </c>
      <c r="I281" s="17">
        <f t="shared" si="143"/>
        <v>0</v>
      </c>
      <c r="J281" s="17"/>
      <c r="K281" s="17">
        <f t="shared" si="144"/>
        <v>0</v>
      </c>
      <c r="L281" s="17"/>
      <c r="M281" s="17">
        <f t="shared" si="145"/>
        <v>0</v>
      </c>
      <c r="N281" s="17">
        <f t="shared" si="146"/>
        <v>0</v>
      </c>
      <c r="O281" s="17">
        <f t="shared" si="147"/>
        <v>0</v>
      </c>
      <c r="P281" s="18">
        <v>0</v>
      </c>
      <c r="Q281" s="18">
        <v>0</v>
      </c>
    </row>
    <row r="282" spans="1:17" ht="12.75" customHeight="1">
      <c r="A282" s="19" t="s">
        <v>92</v>
      </c>
      <c r="B282" s="19"/>
      <c r="C282" s="19"/>
      <c r="D282" s="19"/>
      <c r="E282" s="20">
        <f>SUM('DS1'!$A$70)</f>
        <v>20000</v>
      </c>
      <c r="F282" s="20">
        <v>-20000</v>
      </c>
      <c r="G282" s="20">
        <v>0</v>
      </c>
      <c r="H282" s="20">
        <v>0</v>
      </c>
      <c r="I282" s="21">
        <v>0</v>
      </c>
      <c r="J282" s="21"/>
      <c r="K282" s="21">
        <v>0</v>
      </c>
      <c r="L282" s="21"/>
      <c r="M282" s="20">
        <v>0</v>
      </c>
      <c r="N282" s="20">
        <v>0</v>
      </c>
      <c r="O282" s="20">
        <v>0</v>
      </c>
      <c r="P282" s="22">
        <v>0</v>
      </c>
      <c r="Q282" s="22">
        <v>0</v>
      </c>
    </row>
    <row r="283" spans="1:17" ht="12.75" customHeight="1">
      <c r="A283" s="23"/>
      <c r="B283" s="24"/>
      <c r="C283" s="24"/>
      <c r="D283" s="24"/>
      <c r="E283" s="23"/>
      <c r="F283" s="20">
        <v>0</v>
      </c>
      <c r="G283" s="20">
        <v>0</v>
      </c>
      <c r="H283" s="20">
        <v>0</v>
      </c>
      <c r="I283" s="21">
        <v>0</v>
      </c>
      <c r="J283" s="21"/>
      <c r="K283" s="21">
        <v>0</v>
      </c>
      <c r="L283" s="21"/>
      <c r="M283" s="20">
        <v>0</v>
      </c>
      <c r="N283" s="20">
        <v>0</v>
      </c>
      <c r="O283" s="20">
        <v>0</v>
      </c>
      <c r="P283" s="22">
        <v>0</v>
      </c>
      <c r="Q283" s="22">
        <v>0</v>
      </c>
    </row>
    <row r="284" spans="1:17" ht="20.25" customHeight="1">
      <c r="A284" s="23"/>
      <c r="B284" s="24"/>
      <c r="C284" s="24"/>
      <c r="D284" s="24"/>
      <c r="E284" s="23"/>
      <c r="F284" s="23"/>
      <c r="G284" s="23"/>
      <c r="H284" s="23"/>
      <c r="I284" s="24"/>
      <c r="J284" s="24"/>
      <c r="K284" s="24"/>
      <c r="L284" s="24"/>
      <c r="M284" s="23"/>
      <c r="N284" s="23"/>
      <c r="O284" s="23"/>
      <c r="P284" s="23"/>
      <c r="Q284" s="23"/>
    </row>
    <row r="285" spans="1:17" ht="12.75" customHeight="1">
      <c r="A285" s="10"/>
      <c r="B285" s="11" t="s">
        <v>214</v>
      </c>
      <c r="C285" s="11"/>
      <c r="D285" s="11"/>
      <c r="E285" s="12">
        <f>ROUND(0,2)</f>
        <v>0</v>
      </c>
      <c r="F285" s="12">
        <f>ROUND(107241.53,2)</f>
        <v>107241.53</v>
      </c>
      <c r="G285" s="12">
        <f aca="true" t="shared" si="148" ref="G285:G286">ROUND(107241.53,2)</f>
        <v>107241.53</v>
      </c>
      <c r="H285" s="12">
        <f aca="true" t="shared" si="149" ref="H285:H296">ROUND(0,2)</f>
        <v>0</v>
      </c>
      <c r="I285" s="13">
        <f aca="true" t="shared" si="150" ref="I285:I296">ROUND(0,2)</f>
        <v>0</v>
      </c>
      <c r="J285" s="13"/>
      <c r="K285" s="13">
        <f aca="true" t="shared" si="151" ref="K285:K298">ROUND(0,2)</f>
        <v>0</v>
      </c>
      <c r="L285" s="13"/>
      <c r="M285" s="12">
        <f aca="true" t="shared" si="152" ref="M285:M298">ROUND(0,2)</f>
        <v>0</v>
      </c>
      <c r="N285" s="12">
        <f aca="true" t="shared" si="153" ref="N285:N298">ROUND(0,2)</f>
        <v>0</v>
      </c>
      <c r="O285" s="12">
        <f>ROUND(0,2)</f>
        <v>0</v>
      </c>
      <c r="P285" s="14">
        <v>0</v>
      </c>
      <c r="Q285" s="14">
        <v>0</v>
      </c>
    </row>
    <row r="286" spans="1:17" ht="12.75" customHeight="1">
      <c r="A286" s="15" t="s">
        <v>215</v>
      </c>
      <c r="B286" s="15"/>
      <c r="C286" s="15"/>
      <c r="D286" s="15"/>
      <c r="E286" s="16" t="s">
        <v>204</v>
      </c>
      <c r="F286" s="17">
        <f>ROUND(0,2)</f>
        <v>0</v>
      </c>
      <c r="G286" s="17">
        <f t="shared" si="148"/>
        <v>107241.53</v>
      </c>
      <c r="H286" s="17">
        <f t="shared" si="149"/>
        <v>0</v>
      </c>
      <c r="I286" s="17">
        <f t="shared" si="150"/>
        <v>0</v>
      </c>
      <c r="J286" s="17"/>
      <c r="K286" s="17">
        <f t="shared" si="151"/>
        <v>0</v>
      </c>
      <c r="L286" s="17"/>
      <c r="M286" s="17">
        <f t="shared" si="152"/>
        <v>0</v>
      </c>
      <c r="N286" s="17">
        <f t="shared" si="153"/>
        <v>0</v>
      </c>
      <c r="O286" s="17">
        <f>ROUND(107241.53,2)</f>
        <v>107241.53</v>
      </c>
      <c r="P286" s="18">
        <v>0</v>
      </c>
      <c r="Q286" s="18">
        <v>0</v>
      </c>
    </row>
    <row r="287" spans="1:17" ht="12.75" customHeight="1">
      <c r="A287" s="10"/>
      <c r="B287" s="11" t="s">
        <v>216</v>
      </c>
      <c r="C287" s="11"/>
      <c r="D287" s="11"/>
      <c r="E287" s="12">
        <f>ROUND(0,2)</f>
        <v>0</v>
      </c>
      <c r="F287" s="12">
        <f>ROUND(230064.34,2)</f>
        <v>230064.34</v>
      </c>
      <c r="G287" s="12">
        <f aca="true" t="shared" si="154" ref="G287:G288">ROUND(230064.34,2)</f>
        <v>230064.34</v>
      </c>
      <c r="H287" s="12">
        <f t="shared" si="149"/>
        <v>0</v>
      </c>
      <c r="I287" s="13">
        <f t="shared" si="150"/>
        <v>0</v>
      </c>
      <c r="J287" s="13"/>
      <c r="K287" s="13">
        <f t="shared" si="151"/>
        <v>0</v>
      </c>
      <c r="L287" s="13"/>
      <c r="M287" s="12">
        <f t="shared" si="152"/>
        <v>0</v>
      </c>
      <c r="N287" s="12">
        <f t="shared" si="153"/>
        <v>0</v>
      </c>
      <c r="O287" s="12">
        <f>ROUND(0,2)</f>
        <v>0</v>
      </c>
      <c r="P287" s="14">
        <v>0</v>
      </c>
      <c r="Q287" s="14">
        <v>0</v>
      </c>
    </row>
    <row r="288" spans="1:17" ht="12.75" customHeight="1">
      <c r="A288" s="15" t="s">
        <v>217</v>
      </c>
      <c r="B288" s="15"/>
      <c r="C288" s="15"/>
      <c r="D288" s="15"/>
      <c r="E288" s="16" t="s">
        <v>204</v>
      </c>
      <c r="F288" s="17">
        <f>ROUND(0,2)</f>
        <v>0</v>
      </c>
      <c r="G288" s="17">
        <f t="shared" si="154"/>
        <v>230064.34</v>
      </c>
      <c r="H288" s="17">
        <f t="shared" si="149"/>
        <v>0</v>
      </c>
      <c r="I288" s="17">
        <f t="shared" si="150"/>
        <v>0</v>
      </c>
      <c r="J288" s="17"/>
      <c r="K288" s="17">
        <f t="shared" si="151"/>
        <v>0</v>
      </c>
      <c r="L288" s="17"/>
      <c r="M288" s="17">
        <f t="shared" si="152"/>
        <v>0</v>
      </c>
      <c r="N288" s="17">
        <f t="shared" si="153"/>
        <v>0</v>
      </c>
      <c r="O288" s="17">
        <f>ROUND(230064.34,2)</f>
        <v>230064.34</v>
      </c>
      <c r="P288" s="18">
        <v>0</v>
      </c>
      <c r="Q288" s="18">
        <v>0</v>
      </c>
    </row>
    <row r="289" spans="1:17" ht="12.75" customHeight="1">
      <c r="A289" s="10"/>
      <c r="B289" s="11" t="s">
        <v>218</v>
      </c>
      <c r="C289" s="11"/>
      <c r="D289" s="11"/>
      <c r="E289" s="12">
        <f>ROUND(0,2)</f>
        <v>0</v>
      </c>
      <c r="F289" s="12">
        <f>ROUND(19988.35,2)</f>
        <v>19988.35</v>
      </c>
      <c r="G289" s="12">
        <f aca="true" t="shared" si="155" ref="G289:G290">ROUND(19988.35,2)</f>
        <v>19988.35</v>
      </c>
      <c r="H289" s="12">
        <f t="shared" si="149"/>
        <v>0</v>
      </c>
      <c r="I289" s="13">
        <f t="shared" si="150"/>
        <v>0</v>
      </c>
      <c r="J289" s="13"/>
      <c r="K289" s="13">
        <f t="shared" si="151"/>
        <v>0</v>
      </c>
      <c r="L289" s="13"/>
      <c r="M289" s="12">
        <f t="shared" si="152"/>
        <v>0</v>
      </c>
      <c r="N289" s="12">
        <f t="shared" si="153"/>
        <v>0</v>
      </c>
      <c r="O289" s="12">
        <f>ROUND(0,2)</f>
        <v>0</v>
      </c>
      <c r="P289" s="14">
        <v>0</v>
      </c>
      <c r="Q289" s="14">
        <v>0</v>
      </c>
    </row>
    <row r="290" spans="1:17" ht="12.75" customHeight="1">
      <c r="A290" s="15" t="s">
        <v>219</v>
      </c>
      <c r="B290" s="15"/>
      <c r="C290" s="15"/>
      <c r="D290" s="15"/>
      <c r="E290" s="16" t="s">
        <v>204</v>
      </c>
      <c r="F290" s="17">
        <f>ROUND(0,2)</f>
        <v>0</v>
      </c>
      <c r="G290" s="17">
        <f t="shared" si="155"/>
        <v>19988.35</v>
      </c>
      <c r="H290" s="17">
        <f t="shared" si="149"/>
        <v>0</v>
      </c>
      <c r="I290" s="17">
        <f t="shared" si="150"/>
        <v>0</v>
      </c>
      <c r="J290" s="17"/>
      <c r="K290" s="17">
        <f t="shared" si="151"/>
        <v>0</v>
      </c>
      <c r="L290" s="17"/>
      <c r="M290" s="17">
        <f t="shared" si="152"/>
        <v>0</v>
      </c>
      <c r="N290" s="17">
        <f t="shared" si="153"/>
        <v>0</v>
      </c>
      <c r="O290" s="17">
        <f>ROUND(19988.35,2)</f>
        <v>19988.35</v>
      </c>
      <c r="P290" s="18">
        <v>0</v>
      </c>
      <c r="Q290" s="18">
        <v>0</v>
      </c>
    </row>
    <row r="291" spans="1:17" ht="12.75" customHeight="1">
      <c r="A291" s="10"/>
      <c r="B291" s="11" t="s">
        <v>220</v>
      </c>
      <c r="C291" s="11"/>
      <c r="D291" s="11"/>
      <c r="E291" s="12">
        <f>ROUND(0,2)</f>
        <v>0</v>
      </c>
      <c r="F291" s="12">
        <f>ROUND(41013.15,2)</f>
        <v>41013.15</v>
      </c>
      <c r="G291" s="12">
        <f aca="true" t="shared" si="156" ref="G291:G292">ROUND(41013.15,2)</f>
        <v>41013.15</v>
      </c>
      <c r="H291" s="12">
        <f t="shared" si="149"/>
        <v>0</v>
      </c>
      <c r="I291" s="13">
        <f t="shared" si="150"/>
        <v>0</v>
      </c>
      <c r="J291" s="13"/>
      <c r="K291" s="13">
        <f t="shared" si="151"/>
        <v>0</v>
      </c>
      <c r="L291" s="13"/>
      <c r="M291" s="12">
        <f t="shared" si="152"/>
        <v>0</v>
      </c>
      <c r="N291" s="12">
        <f t="shared" si="153"/>
        <v>0</v>
      </c>
      <c r="O291" s="12">
        <f>ROUND(0,2)</f>
        <v>0</v>
      </c>
      <c r="P291" s="14">
        <v>0</v>
      </c>
      <c r="Q291" s="14">
        <v>0</v>
      </c>
    </row>
    <row r="292" spans="1:17" ht="12.75" customHeight="1">
      <c r="A292" s="15" t="s">
        <v>221</v>
      </c>
      <c r="B292" s="15"/>
      <c r="C292" s="15"/>
      <c r="D292" s="15"/>
      <c r="E292" s="16" t="s">
        <v>204</v>
      </c>
      <c r="F292" s="17">
        <f>ROUND(0,2)</f>
        <v>0</v>
      </c>
      <c r="G292" s="17">
        <f t="shared" si="156"/>
        <v>41013.15</v>
      </c>
      <c r="H292" s="17">
        <f t="shared" si="149"/>
        <v>0</v>
      </c>
      <c r="I292" s="17">
        <f t="shared" si="150"/>
        <v>0</v>
      </c>
      <c r="J292" s="17"/>
      <c r="K292" s="17">
        <f t="shared" si="151"/>
        <v>0</v>
      </c>
      <c r="L292" s="17"/>
      <c r="M292" s="17">
        <f t="shared" si="152"/>
        <v>0</v>
      </c>
      <c r="N292" s="17">
        <f t="shared" si="153"/>
        <v>0</v>
      </c>
      <c r="O292" s="17">
        <f>ROUND(41013.15,2)</f>
        <v>41013.15</v>
      </c>
      <c r="P292" s="18">
        <v>0</v>
      </c>
      <c r="Q292" s="18">
        <v>0</v>
      </c>
    </row>
    <row r="293" spans="1:17" ht="12.75" customHeight="1">
      <c r="A293" s="10"/>
      <c r="B293" s="11" t="s">
        <v>222</v>
      </c>
      <c r="C293" s="11"/>
      <c r="D293" s="11"/>
      <c r="E293" s="12">
        <f>ROUND(0,2)</f>
        <v>0</v>
      </c>
      <c r="F293" s="12">
        <f>ROUND(98276.97,2)</f>
        <v>98276.97</v>
      </c>
      <c r="G293" s="12">
        <f aca="true" t="shared" si="157" ref="G293:G294">ROUND(98276.97,2)</f>
        <v>98276.97</v>
      </c>
      <c r="H293" s="12">
        <f t="shared" si="149"/>
        <v>0</v>
      </c>
      <c r="I293" s="13">
        <f t="shared" si="150"/>
        <v>0</v>
      </c>
      <c r="J293" s="13"/>
      <c r="K293" s="13">
        <f t="shared" si="151"/>
        <v>0</v>
      </c>
      <c r="L293" s="13"/>
      <c r="M293" s="12">
        <f t="shared" si="152"/>
        <v>0</v>
      </c>
      <c r="N293" s="12">
        <f t="shared" si="153"/>
        <v>0</v>
      </c>
      <c r="O293" s="12">
        <f>ROUND(0,2)</f>
        <v>0</v>
      </c>
      <c r="P293" s="14">
        <v>0</v>
      </c>
      <c r="Q293" s="14">
        <v>0</v>
      </c>
    </row>
    <row r="294" spans="1:17" ht="12.75" customHeight="1">
      <c r="A294" s="15" t="s">
        <v>223</v>
      </c>
      <c r="B294" s="15"/>
      <c r="C294" s="15"/>
      <c r="D294" s="15"/>
      <c r="E294" s="16" t="s">
        <v>204</v>
      </c>
      <c r="F294" s="17">
        <f>ROUND(0,2)</f>
        <v>0</v>
      </c>
      <c r="G294" s="17">
        <f t="shared" si="157"/>
        <v>98276.97</v>
      </c>
      <c r="H294" s="17">
        <f t="shared" si="149"/>
        <v>0</v>
      </c>
      <c r="I294" s="17">
        <f t="shared" si="150"/>
        <v>0</v>
      </c>
      <c r="J294" s="17"/>
      <c r="K294" s="17">
        <f t="shared" si="151"/>
        <v>0</v>
      </c>
      <c r="L294" s="17"/>
      <c r="M294" s="17">
        <f t="shared" si="152"/>
        <v>0</v>
      </c>
      <c r="N294" s="17">
        <f t="shared" si="153"/>
        <v>0</v>
      </c>
      <c r="O294" s="17">
        <f>ROUND(98276.97,2)</f>
        <v>98276.97</v>
      </c>
      <c r="P294" s="18">
        <v>0</v>
      </c>
      <c r="Q294" s="18">
        <v>0</v>
      </c>
    </row>
    <row r="295" spans="1:17" ht="12.75" customHeight="1">
      <c r="A295" s="10"/>
      <c r="B295" s="11" t="s">
        <v>224</v>
      </c>
      <c r="C295" s="11"/>
      <c r="D295" s="11"/>
      <c r="E295" s="12">
        <f>ROUND(0,2)</f>
        <v>0</v>
      </c>
      <c r="F295" s="12">
        <f>ROUND(36671.26,2)</f>
        <v>36671.26</v>
      </c>
      <c r="G295" s="12">
        <f aca="true" t="shared" si="158" ref="G295:G296">ROUND(36671.26,2)</f>
        <v>36671.26</v>
      </c>
      <c r="H295" s="12">
        <f t="shared" si="149"/>
        <v>0</v>
      </c>
      <c r="I295" s="13">
        <f t="shared" si="150"/>
        <v>0</v>
      </c>
      <c r="J295" s="13"/>
      <c r="K295" s="13">
        <f t="shared" si="151"/>
        <v>0</v>
      </c>
      <c r="L295" s="13"/>
      <c r="M295" s="12">
        <f t="shared" si="152"/>
        <v>0</v>
      </c>
      <c r="N295" s="12">
        <f t="shared" si="153"/>
        <v>0</v>
      </c>
      <c r="O295" s="12">
        <f>ROUND(0,2)</f>
        <v>0</v>
      </c>
      <c r="P295" s="14">
        <v>0</v>
      </c>
      <c r="Q295" s="14">
        <v>0</v>
      </c>
    </row>
    <row r="296" spans="1:17" ht="12.75" customHeight="1">
      <c r="A296" s="15" t="s">
        <v>225</v>
      </c>
      <c r="B296" s="15"/>
      <c r="C296" s="15"/>
      <c r="D296" s="15"/>
      <c r="E296" s="16" t="s">
        <v>204</v>
      </c>
      <c r="F296" s="17">
        <f>ROUND(0,2)</f>
        <v>0</v>
      </c>
      <c r="G296" s="17">
        <f t="shared" si="158"/>
        <v>36671.26</v>
      </c>
      <c r="H296" s="17">
        <f t="shared" si="149"/>
        <v>0</v>
      </c>
      <c r="I296" s="17">
        <f t="shared" si="150"/>
        <v>0</v>
      </c>
      <c r="J296" s="17"/>
      <c r="K296" s="17">
        <f t="shared" si="151"/>
        <v>0</v>
      </c>
      <c r="L296" s="17"/>
      <c r="M296" s="17">
        <f t="shared" si="152"/>
        <v>0</v>
      </c>
      <c r="N296" s="17">
        <f t="shared" si="153"/>
        <v>0</v>
      </c>
      <c r="O296" s="17">
        <f>ROUND(36671.26,2)</f>
        <v>36671.26</v>
      </c>
      <c r="P296" s="18">
        <v>0</v>
      </c>
      <c r="Q296" s="18">
        <v>0</v>
      </c>
    </row>
    <row r="297" spans="1:17" ht="12.75" customHeight="1">
      <c r="A297" s="10"/>
      <c r="B297" s="11" t="s">
        <v>226</v>
      </c>
      <c r="C297" s="11"/>
      <c r="D297" s="11"/>
      <c r="E297" s="12">
        <f>ROUND(615600.24,2)</f>
        <v>615600.24</v>
      </c>
      <c r="F297" s="12">
        <f>ROUND(-83692.96,2)</f>
        <v>-83692.96</v>
      </c>
      <c r="G297" s="12">
        <f>ROUND(531907.28,2)</f>
        <v>531907.28</v>
      </c>
      <c r="H297" s="12">
        <f>ROUND(483552.07,2)</f>
        <v>483552.07</v>
      </c>
      <c r="I297" s="13">
        <f aca="true" t="shared" si="159" ref="I297:I298">ROUND(483552.07,2)</f>
        <v>483552.07</v>
      </c>
      <c r="J297" s="13"/>
      <c r="K297" s="13">
        <f t="shared" si="151"/>
        <v>0</v>
      </c>
      <c r="L297" s="13"/>
      <c r="M297" s="12">
        <f t="shared" si="152"/>
        <v>0</v>
      </c>
      <c r="N297" s="12">
        <f t="shared" si="153"/>
        <v>0</v>
      </c>
      <c r="O297" s="12">
        <f>ROUND(0,2)</f>
        <v>0</v>
      </c>
      <c r="P297" s="14">
        <v>0</v>
      </c>
      <c r="Q297" s="14">
        <v>0</v>
      </c>
    </row>
    <row r="298" spans="1:17" ht="12.75" customHeight="1">
      <c r="A298" s="15" t="s">
        <v>227</v>
      </c>
      <c r="B298" s="15"/>
      <c r="C298" s="15"/>
      <c r="D298" s="15"/>
      <c r="E298" s="16" t="s">
        <v>204</v>
      </c>
      <c r="F298" s="17">
        <f>ROUND(0,2)</f>
        <v>0</v>
      </c>
      <c r="G298" s="17">
        <f>ROUND(48355.21,2)</f>
        <v>48355.21</v>
      </c>
      <c r="H298" s="17">
        <f>ROUND(0,2)</f>
        <v>0</v>
      </c>
      <c r="I298" s="17">
        <f t="shared" si="159"/>
        <v>483552.07</v>
      </c>
      <c r="J298" s="17"/>
      <c r="K298" s="17">
        <f t="shared" si="151"/>
        <v>0</v>
      </c>
      <c r="L298" s="17"/>
      <c r="M298" s="17">
        <f t="shared" si="152"/>
        <v>0</v>
      </c>
      <c r="N298" s="17">
        <f t="shared" si="153"/>
        <v>0</v>
      </c>
      <c r="O298" s="17">
        <f>ROUND(531907.28,2)</f>
        <v>531907.28</v>
      </c>
      <c r="P298" s="18">
        <v>78.5465674135557</v>
      </c>
      <c r="Q298" s="18">
        <v>0</v>
      </c>
    </row>
    <row r="299" spans="1:17" ht="12.75" customHeight="1">
      <c r="A299" s="19" t="s">
        <v>210</v>
      </c>
      <c r="B299" s="19"/>
      <c r="C299" s="19"/>
      <c r="D299" s="19"/>
      <c r="E299" s="20">
        <f>SUM('DS1'!$A$71:$A$77)</f>
        <v>615600.24</v>
      </c>
      <c r="F299" s="20">
        <v>449562.64</v>
      </c>
      <c r="G299" s="20">
        <v>1065162.88</v>
      </c>
      <c r="H299" s="20">
        <v>483552.07</v>
      </c>
      <c r="I299" s="21">
        <v>483552.07</v>
      </c>
      <c r="J299" s="21"/>
      <c r="K299" s="21">
        <v>0</v>
      </c>
      <c r="L299" s="21"/>
      <c r="M299" s="20">
        <v>0</v>
      </c>
      <c r="N299" s="20">
        <v>0</v>
      </c>
      <c r="O299" s="20">
        <v>0</v>
      </c>
      <c r="P299" s="22">
        <v>0</v>
      </c>
      <c r="Q299" s="22">
        <v>0</v>
      </c>
    </row>
    <row r="300" spans="1:17" ht="12.75" customHeight="1">
      <c r="A300" s="23"/>
      <c r="B300" s="24"/>
      <c r="C300" s="24"/>
      <c r="D300" s="24"/>
      <c r="E300" s="23"/>
      <c r="F300" s="20">
        <v>0</v>
      </c>
      <c r="G300" s="20">
        <v>581610.81</v>
      </c>
      <c r="H300" s="20">
        <v>0</v>
      </c>
      <c r="I300" s="21">
        <v>483552.07</v>
      </c>
      <c r="J300" s="21"/>
      <c r="K300" s="21">
        <v>0</v>
      </c>
      <c r="L300" s="21"/>
      <c r="M300" s="20">
        <v>0</v>
      </c>
      <c r="N300" s="20">
        <v>0</v>
      </c>
      <c r="O300" s="20">
        <v>1065162.88</v>
      </c>
      <c r="P300" s="22">
        <v>45.39700726333986</v>
      </c>
      <c r="Q300" s="22">
        <v>0</v>
      </c>
    </row>
    <row r="301" spans="1:17" ht="20.25" customHeight="1">
      <c r="A301" s="23"/>
      <c r="B301" s="24"/>
      <c r="C301" s="24"/>
      <c r="D301" s="24"/>
      <c r="E301" s="23"/>
      <c r="F301" s="23"/>
      <c r="G301" s="23"/>
      <c r="H301" s="23"/>
      <c r="I301" s="24"/>
      <c r="J301" s="24"/>
      <c r="K301" s="24"/>
      <c r="L301" s="24"/>
      <c r="M301" s="23"/>
      <c r="N301" s="23"/>
      <c r="O301" s="23"/>
      <c r="P301" s="23"/>
      <c r="Q301" s="23"/>
    </row>
    <row r="302" spans="1:17" ht="12.75" customHeight="1">
      <c r="A302" s="19" t="s">
        <v>228</v>
      </c>
      <c r="B302" s="19"/>
      <c r="C302" s="19"/>
      <c r="D302" s="19"/>
      <c r="E302" s="20">
        <f>SUM('DS1'!$A$70:$A$77)</f>
        <v>635600.24</v>
      </c>
      <c r="F302" s="20">
        <v>429562.64</v>
      </c>
      <c r="G302" s="20">
        <v>1065162.88</v>
      </c>
      <c r="H302" s="20">
        <v>483552.07</v>
      </c>
      <c r="I302" s="21">
        <v>483552.07</v>
      </c>
      <c r="J302" s="21"/>
      <c r="K302" s="21">
        <v>0</v>
      </c>
      <c r="L302" s="21"/>
      <c r="M302" s="20">
        <v>0</v>
      </c>
      <c r="N302" s="20">
        <v>0</v>
      </c>
      <c r="O302" s="20">
        <v>0</v>
      </c>
      <c r="P302" s="22">
        <v>0</v>
      </c>
      <c r="Q302" s="22">
        <v>0</v>
      </c>
    </row>
    <row r="303" spans="1:17" ht="12.75" customHeight="1">
      <c r="A303" s="23"/>
      <c r="B303" s="24"/>
      <c r="C303" s="24"/>
      <c r="D303" s="24"/>
      <c r="E303" s="23"/>
      <c r="F303" s="20">
        <v>0</v>
      </c>
      <c r="G303" s="20">
        <v>581610.81</v>
      </c>
      <c r="H303" s="20">
        <v>0</v>
      </c>
      <c r="I303" s="21">
        <v>483552.07</v>
      </c>
      <c r="J303" s="21"/>
      <c r="K303" s="21">
        <v>0</v>
      </c>
      <c r="L303" s="21"/>
      <c r="M303" s="20">
        <v>0</v>
      </c>
      <c r="N303" s="20">
        <v>0</v>
      </c>
      <c r="O303" s="20">
        <v>1065162.88</v>
      </c>
      <c r="P303" s="22">
        <v>45.39700726333986</v>
      </c>
      <c r="Q303" s="22">
        <v>0</v>
      </c>
    </row>
    <row r="304" spans="1:17" ht="18" customHeight="1">
      <c r="A304" s="23"/>
      <c r="B304" s="24"/>
      <c r="C304" s="24"/>
      <c r="D304" s="24"/>
      <c r="E304" s="23"/>
      <c r="F304" s="23"/>
      <c r="G304" s="23"/>
      <c r="H304" s="23"/>
      <c r="I304" s="24"/>
      <c r="J304" s="24"/>
      <c r="K304" s="24"/>
      <c r="L304" s="24"/>
      <c r="M304" s="23"/>
      <c r="N304" s="23"/>
      <c r="O304" s="23"/>
      <c r="P304" s="23"/>
      <c r="Q304" s="23"/>
    </row>
    <row r="305" spans="1:17" ht="12.75" customHeight="1">
      <c r="A305" s="10"/>
      <c r="B305" s="11" t="s">
        <v>229</v>
      </c>
      <c r="C305" s="11"/>
      <c r="D305" s="11"/>
      <c r="E305" s="12">
        <f>ROUND(450000,2)</f>
        <v>450000</v>
      </c>
      <c r="F305" s="12">
        <f aca="true" t="shared" si="160" ref="F305:F306">ROUND(0,2)</f>
        <v>0</v>
      </c>
      <c r="G305" s="12">
        <f>ROUND(450000,2)</f>
        <v>450000</v>
      </c>
      <c r="H305" s="12">
        <f aca="true" t="shared" si="161" ref="H305:H306">ROUND(0,2)</f>
        <v>0</v>
      </c>
      <c r="I305" s="13">
        <f aca="true" t="shared" si="162" ref="I305:I306">ROUND(0,2)</f>
        <v>0</v>
      </c>
      <c r="J305" s="13"/>
      <c r="K305" s="13">
        <f aca="true" t="shared" si="163" ref="K305:K306">ROUND(0,2)</f>
        <v>0</v>
      </c>
      <c r="L305" s="13"/>
      <c r="M305" s="12">
        <f aca="true" t="shared" si="164" ref="M305:M306">ROUND(0,2)</f>
        <v>0</v>
      </c>
      <c r="N305" s="12">
        <f aca="true" t="shared" si="165" ref="N305:N306">ROUND(0,2)</f>
        <v>0</v>
      </c>
      <c r="O305" s="12">
        <f aca="true" t="shared" si="166" ref="O305:O306">ROUND(450000,2)</f>
        <v>450000</v>
      </c>
      <c r="P305" s="14">
        <v>100</v>
      </c>
      <c r="Q305" s="14">
        <v>0</v>
      </c>
    </row>
    <row r="306" spans="1:17" ht="12.75" customHeight="1">
      <c r="A306" s="15" t="s">
        <v>230</v>
      </c>
      <c r="B306" s="15"/>
      <c r="C306" s="15"/>
      <c r="D306" s="15"/>
      <c r="E306" s="16" t="s">
        <v>229</v>
      </c>
      <c r="F306" s="17">
        <f t="shared" si="160"/>
        <v>0</v>
      </c>
      <c r="G306" s="17">
        <f>ROUND(0,2)</f>
        <v>0</v>
      </c>
      <c r="H306" s="17">
        <f t="shared" si="161"/>
        <v>0</v>
      </c>
      <c r="I306" s="17">
        <f t="shared" si="162"/>
        <v>0</v>
      </c>
      <c r="J306" s="17"/>
      <c r="K306" s="17">
        <f t="shared" si="163"/>
        <v>0</v>
      </c>
      <c r="L306" s="17"/>
      <c r="M306" s="17">
        <f t="shared" si="164"/>
        <v>0</v>
      </c>
      <c r="N306" s="17">
        <f t="shared" si="165"/>
        <v>0</v>
      </c>
      <c r="O306" s="17">
        <f t="shared" si="166"/>
        <v>450000</v>
      </c>
      <c r="P306" s="18">
        <v>0</v>
      </c>
      <c r="Q306" s="18">
        <v>0</v>
      </c>
    </row>
    <row r="307" spans="1:17" ht="12.75" customHeight="1">
      <c r="A307" s="10"/>
      <c r="B307" s="11" t="s">
        <v>231</v>
      </c>
      <c r="C307" s="11"/>
      <c r="D307" s="11"/>
      <c r="E307" s="12">
        <f>ROUND(0,2)</f>
        <v>0</v>
      </c>
      <c r="F307" s="12">
        <f>ROUND(1134.2,2)</f>
        <v>1134.2</v>
      </c>
      <c r="G307" s="12">
        <f>ROUND(1134.2,2)</f>
        <v>1134.2</v>
      </c>
      <c r="H307" s="12">
        <f>ROUND(1134.2,2)</f>
        <v>1134.2</v>
      </c>
      <c r="I307" s="13">
        <f>ROUND(1134.2,2)</f>
        <v>1134.2</v>
      </c>
      <c r="J307" s="13"/>
      <c r="K307" s="13">
        <f>ROUND(1134.2,2)</f>
        <v>1134.2</v>
      </c>
      <c r="L307" s="13"/>
      <c r="M307" s="12">
        <f>ROUND(1134.2,2)</f>
        <v>1134.2</v>
      </c>
      <c r="N307" s="12">
        <f>ROUND(1134.2,2)</f>
        <v>1134.2</v>
      </c>
      <c r="O307" s="12">
        <f aca="true" t="shared" si="167" ref="O307:O308">ROUND(0,2)</f>
        <v>0</v>
      </c>
      <c r="P307" s="14">
        <v>0</v>
      </c>
      <c r="Q307" s="14">
        <v>100</v>
      </c>
    </row>
    <row r="308" spans="1:17" ht="12.75" customHeight="1">
      <c r="A308" s="15" t="s">
        <v>230</v>
      </c>
      <c r="B308" s="15"/>
      <c r="C308" s="15"/>
      <c r="D308" s="15"/>
      <c r="E308" s="16" t="s">
        <v>232</v>
      </c>
      <c r="F308" s="17">
        <f>ROUND(0,2)</f>
        <v>0</v>
      </c>
      <c r="G308" s="17">
        <f>ROUND(0,2)</f>
        <v>0</v>
      </c>
      <c r="H308" s="17">
        <f>ROUND(0,2)</f>
        <v>0</v>
      </c>
      <c r="I308" s="17">
        <f>ROUND(0,2)</f>
        <v>0</v>
      </c>
      <c r="J308" s="17"/>
      <c r="K308" s="17">
        <f>ROUND(0,2)</f>
        <v>0</v>
      </c>
      <c r="L308" s="17"/>
      <c r="M308" s="17">
        <f>ROUND(0,2)</f>
        <v>0</v>
      </c>
      <c r="N308" s="17">
        <f>ROUND(0,2)</f>
        <v>0</v>
      </c>
      <c r="O308" s="17">
        <f t="shared" si="167"/>
        <v>0</v>
      </c>
      <c r="P308" s="18">
        <v>100</v>
      </c>
      <c r="Q308" s="18">
        <v>100</v>
      </c>
    </row>
    <row r="309" spans="1:17" ht="12.75" customHeight="1">
      <c r="A309" s="19" t="s">
        <v>37</v>
      </c>
      <c r="B309" s="19"/>
      <c r="C309" s="19"/>
      <c r="D309" s="19"/>
      <c r="E309" s="20">
        <f>SUM('DS1'!$A$78:$A$79)</f>
        <v>450000</v>
      </c>
      <c r="F309" s="20">
        <v>1134.2</v>
      </c>
      <c r="G309" s="20">
        <v>451134.2</v>
      </c>
      <c r="H309" s="20">
        <v>1134.2</v>
      </c>
      <c r="I309" s="21">
        <v>1134.2</v>
      </c>
      <c r="J309" s="21"/>
      <c r="K309" s="21">
        <v>1134.2</v>
      </c>
      <c r="L309" s="21"/>
      <c r="M309" s="20">
        <v>1134.2</v>
      </c>
      <c r="N309" s="20">
        <v>1134.2</v>
      </c>
      <c r="O309" s="20">
        <v>450000</v>
      </c>
      <c r="P309" s="22">
        <v>99.7485892224531</v>
      </c>
      <c r="Q309" s="22">
        <v>0.2514107775469029</v>
      </c>
    </row>
    <row r="310" spans="1:17" ht="12.75" customHeight="1">
      <c r="A310" s="23"/>
      <c r="B310" s="24"/>
      <c r="C310" s="24"/>
      <c r="D310" s="24"/>
      <c r="E310" s="23"/>
      <c r="F310" s="20">
        <v>0</v>
      </c>
      <c r="G310" s="20">
        <v>0</v>
      </c>
      <c r="H310" s="20">
        <v>0</v>
      </c>
      <c r="I310" s="21">
        <v>0</v>
      </c>
      <c r="J310" s="21"/>
      <c r="K310" s="21">
        <v>0</v>
      </c>
      <c r="L310" s="21"/>
      <c r="M310" s="20">
        <v>0</v>
      </c>
      <c r="N310" s="20">
        <v>0</v>
      </c>
      <c r="O310" s="20">
        <v>450000</v>
      </c>
      <c r="P310" s="22">
        <v>0.2514107775469029</v>
      </c>
      <c r="Q310" s="22">
        <v>100</v>
      </c>
    </row>
    <row r="311" spans="1:17" ht="20.25" customHeight="1">
      <c r="A311" s="23"/>
      <c r="B311" s="24"/>
      <c r="C311" s="24"/>
      <c r="D311" s="24"/>
      <c r="E311" s="23"/>
      <c r="F311" s="23"/>
      <c r="G311" s="23"/>
      <c r="H311" s="23"/>
      <c r="I311" s="24"/>
      <c r="J311" s="24"/>
      <c r="K311" s="24"/>
      <c r="L311" s="24"/>
      <c r="M311" s="23"/>
      <c r="N311" s="23"/>
      <c r="O311" s="23"/>
      <c r="P311" s="23"/>
      <c r="Q311" s="23"/>
    </row>
    <row r="312" spans="1:17" ht="12.75" customHeight="1">
      <c r="A312" s="19" t="s">
        <v>233</v>
      </c>
      <c r="B312" s="19"/>
      <c r="C312" s="19"/>
      <c r="D312" s="19"/>
      <c r="E312" s="20">
        <f>SUM('DS1'!$A$78:$A$79)</f>
        <v>450000</v>
      </c>
      <c r="F312" s="20">
        <v>1134.2</v>
      </c>
      <c r="G312" s="20">
        <v>451134.2</v>
      </c>
      <c r="H312" s="20">
        <v>1134.2</v>
      </c>
      <c r="I312" s="21">
        <v>1134.2</v>
      </c>
      <c r="J312" s="21"/>
      <c r="K312" s="21">
        <v>1134.2</v>
      </c>
      <c r="L312" s="21"/>
      <c r="M312" s="20">
        <v>1134.2</v>
      </c>
      <c r="N312" s="20">
        <v>1134.2</v>
      </c>
      <c r="O312" s="20">
        <v>450000</v>
      </c>
      <c r="P312" s="22">
        <v>99.7485892224531</v>
      </c>
      <c r="Q312" s="22">
        <v>0.2514107775469029</v>
      </c>
    </row>
    <row r="313" spans="1:17" ht="12.75" customHeight="1">
      <c r="A313" s="23"/>
      <c r="B313" s="24"/>
      <c r="C313" s="24"/>
      <c r="D313" s="24"/>
      <c r="E313" s="23"/>
      <c r="F313" s="20">
        <v>0</v>
      </c>
      <c r="G313" s="20">
        <v>0</v>
      </c>
      <c r="H313" s="20">
        <v>0</v>
      </c>
      <c r="I313" s="21">
        <v>0</v>
      </c>
      <c r="J313" s="21"/>
      <c r="K313" s="21">
        <v>0</v>
      </c>
      <c r="L313" s="21"/>
      <c r="M313" s="20">
        <v>0</v>
      </c>
      <c r="N313" s="20">
        <v>0</v>
      </c>
      <c r="O313" s="20">
        <v>450000</v>
      </c>
      <c r="P313" s="22">
        <v>0.2514107775469029</v>
      </c>
      <c r="Q313" s="22">
        <v>100</v>
      </c>
    </row>
    <row r="314" spans="1:17" ht="18" customHeight="1">
      <c r="A314" s="23"/>
      <c r="B314" s="24"/>
      <c r="C314" s="24"/>
      <c r="D314" s="24"/>
      <c r="E314" s="23"/>
      <c r="F314" s="23"/>
      <c r="G314" s="23"/>
      <c r="H314" s="23"/>
      <c r="I314" s="24"/>
      <c r="J314" s="24"/>
      <c r="K314" s="24"/>
      <c r="L314" s="24"/>
      <c r="M314" s="23"/>
      <c r="N314" s="23"/>
      <c r="O314" s="23"/>
      <c r="P314" s="23"/>
      <c r="Q314" s="23"/>
    </row>
    <row r="315" spans="1:17" ht="12.75" customHeight="1">
      <c r="A315" s="10"/>
      <c r="B315" s="11" t="s">
        <v>234</v>
      </c>
      <c r="C315" s="11"/>
      <c r="D315" s="11"/>
      <c r="E315" s="12">
        <f>ROUND(5000000,2)</f>
        <v>5000000</v>
      </c>
      <c r="F315" s="12">
        <f aca="true" t="shared" si="168" ref="F315:F316">ROUND(0,2)</f>
        <v>0</v>
      </c>
      <c r="G315" s="12">
        <f>ROUND(5000000,2)</f>
        <v>5000000</v>
      </c>
      <c r="H315" s="12">
        <f aca="true" t="shared" si="169" ref="H315:H316">ROUND(0,2)</f>
        <v>0</v>
      </c>
      <c r="I315" s="13">
        <f aca="true" t="shared" si="170" ref="I315:I316">ROUND(0,2)</f>
        <v>0</v>
      </c>
      <c r="J315" s="13"/>
      <c r="K315" s="13">
        <f aca="true" t="shared" si="171" ref="K315:K316">ROUND(0,2)</f>
        <v>0</v>
      </c>
      <c r="L315" s="13"/>
      <c r="M315" s="12">
        <f aca="true" t="shared" si="172" ref="M315:M316">ROUND(0,2)</f>
        <v>0</v>
      </c>
      <c r="N315" s="12">
        <f aca="true" t="shared" si="173" ref="N315:N316">ROUND(0,2)</f>
        <v>0</v>
      </c>
      <c r="O315" s="12">
        <f aca="true" t="shared" si="174" ref="O315:O316">ROUND(5000000,2)</f>
        <v>5000000</v>
      </c>
      <c r="P315" s="14">
        <v>100</v>
      </c>
      <c r="Q315" s="14">
        <v>0</v>
      </c>
    </row>
    <row r="316" spans="1:17" ht="12.75" customHeight="1">
      <c r="A316" s="15" t="s">
        <v>235</v>
      </c>
      <c r="B316" s="15"/>
      <c r="C316" s="15"/>
      <c r="D316" s="15"/>
      <c r="E316" s="16" t="s">
        <v>234</v>
      </c>
      <c r="F316" s="17">
        <f t="shared" si="168"/>
        <v>0</v>
      </c>
      <c r="G316" s="17">
        <f>ROUND(0,2)</f>
        <v>0</v>
      </c>
      <c r="H316" s="17">
        <f t="shared" si="169"/>
        <v>0</v>
      </c>
      <c r="I316" s="17">
        <f t="shared" si="170"/>
        <v>0</v>
      </c>
      <c r="J316" s="17"/>
      <c r="K316" s="17">
        <f t="shared" si="171"/>
        <v>0</v>
      </c>
      <c r="L316" s="17"/>
      <c r="M316" s="17">
        <f t="shared" si="172"/>
        <v>0</v>
      </c>
      <c r="N316" s="17">
        <f t="shared" si="173"/>
        <v>0</v>
      </c>
      <c r="O316" s="17">
        <f t="shared" si="174"/>
        <v>5000000</v>
      </c>
      <c r="P316" s="18">
        <v>0</v>
      </c>
      <c r="Q316" s="18">
        <v>0</v>
      </c>
    </row>
    <row r="317" spans="1:17" ht="12.75" customHeight="1">
      <c r="A317" s="19" t="s">
        <v>37</v>
      </c>
      <c r="B317" s="19"/>
      <c r="C317" s="19"/>
      <c r="D317" s="19"/>
      <c r="E317" s="20">
        <f>SUM('DS1'!$A$80)</f>
        <v>5000000</v>
      </c>
      <c r="F317" s="20">
        <v>0</v>
      </c>
      <c r="G317" s="20">
        <v>5000000</v>
      </c>
      <c r="H317" s="20">
        <v>0</v>
      </c>
      <c r="I317" s="21">
        <v>0</v>
      </c>
      <c r="J317" s="21"/>
      <c r="K317" s="21">
        <v>0</v>
      </c>
      <c r="L317" s="21"/>
      <c r="M317" s="20">
        <v>0</v>
      </c>
      <c r="N317" s="20">
        <v>0</v>
      </c>
      <c r="O317" s="20">
        <v>5000000</v>
      </c>
      <c r="P317" s="22">
        <v>100</v>
      </c>
      <c r="Q317" s="22">
        <v>0</v>
      </c>
    </row>
    <row r="318" spans="1:17" ht="12.75" customHeight="1">
      <c r="A318" s="23"/>
      <c r="B318" s="24"/>
      <c r="C318" s="24"/>
      <c r="D318" s="24"/>
      <c r="E318" s="23"/>
      <c r="F318" s="20">
        <v>0</v>
      </c>
      <c r="G318" s="20">
        <v>0</v>
      </c>
      <c r="H318" s="20">
        <v>0</v>
      </c>
      <c r="I318" s="21">
        <v>0</v>
      </c>
      <c r="J318" s="21"/>
      <c r="K318" s="21">
        <v>0</v>
      </c>
      <c r="L318" s="21"/>
      <c r="M318" s="20">
        <v>0</v>
      </c>
      <c r="N318" s="20">
        <v>0</v>
      </c>
      <c r="O318" s="20">
        <v>5000000</v>
      </c>
      <c r="P318" s="22">
        <v>0</v>
      </c>
      <c r="Q318" s="22">
        <v>0</v>
      </c>
    </row>
    <row r="319" spans="1:17" ht="20.25" customHeight="1">
      <c r="A319" s="23"/>
      <c r="B319" s="24"/>
      <c r="C319" s="24"/>
      <c r="D319" s="24"/>
      <c r="E319" s="23"/>
      <c r="F319" s="23"/>
      <c r="G319" s="23"/>
      <c r="H319" s="23"/>
      <c r="I319" s="24"/>
      <c r="J319" s="24"/>
      <c r="K319" s="24"/>
      <c r="L319" s="24"/>
      <c r="M319" s="23"/>
      <c r="N319" s="23"/>
      <c r="O319" s="23"/>
      <c r="P319" s="23"/>
      <c r="Q319" s="23"/>
    </row>
    <row r="320" spans="1:17" ht="12.75" customHeight="1">
      <c r="A320" s="10"/>
      <c r="B320" s="11" t="s">
        <v>236</v>
      </c>
      <c r="C320" s="11"/>
      <c r="D320" s="11"/>
      <c r="E320" s="12">
        <f>ROUND(0,2)</f>
        <v>0</v>
      </c>
      <c r="F320" s="12">
        <f>ROUND(323328,2)</f>
        <v>323328</v>
      </c>
      <c r="G320" s="12">
        <f>ROUND(323328,2)</f>
        <v>323328</v>
      </c>
      <c r="H320" s="12">
        <f>ROUND(323328,2)</f>
        <v>323328</v>
      </c>
      <c r="I320" s="13">
        <f>ROUND(323328,2)</f>
        <v>323328</v>
      </c>
      <c r="J320" s="13"/>
      <c r="K320" s="13">
        <f>ROUND(220230.5,2)</f>
        <v>220230.5</v>
      </c>
      <c r="L320" s="13"/>
      <c r="M320" s="12">
        <f>ROUND(220230.5,2)</f>
        <v>220230.5</v>
      </c>
      <c r="N320" s="12">
        <f>ROUND(220230.5,2)</f>
        <v>220230.5</v>
      </c>
      <c r="O320" s="12">
        <f>ROUND(0,2)</f>
        <v>0</v>
      </c>
      <c r="P320" s="14">
        <v>0</v>
      </c>
      <c r="Q320" s="14">
        <v>68.113649297308</v>
      </c>
    </row>
    <row r="321" spans="1:17" ht="12.75" customHeight="1">
      <c r="A321" s="15" t="s">
        <v>237</v>
      </c>
      <c r="B321" s="15"/>
      <c r="C321" s="15"/>
      <c r="D321" s="15"/>
      <c r="E321" s="16" t="s">
        <v>236</v>
      </c>
      <c r="F321" s="17">
        <f>ROUND(0,2)</f>
        <v>0</v>
      </c>
      <c r="G321" s="17">
        <f>ROUND(0,2)</f>
        <v>0</v>
      </c>
      <c r="H321" s="17">
        <f>ROUND(0,2)</f>
        <v>0</v>
      </c>
      <c r="I321" s="17">
        <f>ROUND(103097.5,2)</f>
        <v>103097.5</v>
      </c>
      <c r="J321" s="17"/>
      <c r="K321" s="17">
        <f>ROUND(0,2)</f>
        <v>0</v>
      </c>
      <c r="L321" s="17"/>
      <c r="M321" s="17">
        <f>ROUND(0,2)</f>
        <v>0</v>
      </c>
      <c r="N321" s="17">
        <f>ROUND(0,2)</f>
        <v>0</v>
      </c>
      <c r="O321" s="17">
        <f>ROUND(103097.5,2)</f>
        <v>103097.5</v>
      </c>
      <c r="P321" s="18">
        <v>100</v>
      </c>
      <c r="Q321" s="18">
        <v>100</v>
      </c>
    </row>
    <row r="322" spans="1:17" ht="12.75" customHeight="1">
      <c r="A322" s="10" t="s">
        <v>83</v>
      </c>
      <c r="B322" s="11" t="s">
        <v>238</v>
      </c>
      <c r="C322" s="11"/>
      <c r="D322" s="11"/>
      <c r="E322" s="12">
        <f>ROUND(0,2)</f>
        <v>0</v>
      </c>
      <c r="F322" s="12">
        <f aca="true" t="shared" si="175" ref="F322:F323">ROUND(65542.55,2)</f>
        <v>65542.55</v>
      </c>
      <c r="G322" s="12">
        <f>ROUND(65542.55,2)</f>
        <v>65542.55</v>
      </c>
      <c r="H322" s="12">
        <f>ROUND(64863.82,2)</f>
        <v>64863.82</v>
      </c>
      <c r="I322" s="13">
        <f>ROUND(64863.82,2)</f>
        <v>64863.82</v>
      </c>
      <c r="J322" s="13"/>
      <c r="K322" s="13">
        <f>ROUND(64863.82,2)</f>
        <v>64863.82</v>
      </c>
      <c r="L322" s="13"/>
      <c r="M322" s="12">
        <f>ROUND(64863.82,2)</f>
        <v>64863.82</v>
      </c>
      <c r="N322" s="12">
        <f>ROUND(64863.82,2)</f>
        <v>64863.82</v>
      </c>
      <c r="O322" s="12">
        <f>ROUND(678.73,2)</f>
        <v>678.73</v>
      </c>
      <c r="P322" s="14">
        <v>1.035556291294739</v>
      </c>
      <c r="Q322" s="14">
        <v>98.96444370870525</v>
      </c>
    </row>
    <row r="323" spans="1:17" ht="12.75" customHeight="1">
      <c r="A323" s="15" t="s">
        <v>239</v>
      </c>
      <c r="B323" s="15"/>
      <c r="C323" s="15"/>
      <c r="D323" s="15"/>
      <c r="E323" s="16" t="s">
        <v>240</v>
      </c>
      <c r="F323" s="17">
        <f t="shared" si="175"/>
        <v>65542.55</v>
      </c>
      <c r="G323" s="17">
        <f>ROUND(0,2)</f>
        <v>0</v>
      </c>
      <c r="H323" s="17">
        <f>ROUND(0,2)</f>
        <v>0</v>
      </c>
      <c r="I323" s="17">
        <f>ROUND(0,2)</f>
        <v>0</v>
      </c>
      <c r="J323" s="17"/>
      <c r="K323" s="17">
        <f>ROUND(0,2)</f>
        <v>0</v>
      </c>
      <c r="L323" s="17"/>
      <c r="M323" s="17">
        <f>ROUND(0,2)</f>
        <v>0</v>
      </c>
      <c r="N323" s="17">
        <f>ROUND(0,2)</f>
        <v>0</v>
      </c>
      <c r="O323" s="17">
        <f>ROUND(678.730000000003,2)</f>
        <v>678.73</v>
      </c>
      <c r="P323" s="18">
        <v>98.96444370870525</v>
      </c>
      <c r="Q323" s="18">
        <v>100</v>
      </c>
    </row>
    <row r="324" spans="1:17" ht="12.75" customHeight="1">
      <c r="A324" s="10" t="s">
        <v>83</v>
      </c>
      <c r="B324" s="11" t="s">
        <v>241</v>
      </c>
      <c r="C324" s="11"/>
      <c r="D324" s="11"/>
      <c r="E324" s="12">
        <f>ROUND(0,2)</f>
        <v>0</v>
      </c>
      <c r="F324" s="12">
        <f aca="true" t="shared" si="176" ref="F324:F325">ROUND(22594.27,2)</f>
        <v>22594.27</v>
      </c>
      <c r="G324" s="12">
        <f>ROUND(22594.27,2)</f>
        <v>22594.27</v>
      </c>
      <c r="H324" s="12">
        <f>ROUND(22594.27,2)</f>
        <v>22594.27</v>
      </c>
      <c r="I324" s="13">
        <f>ROUND(22594.27,2)</f>
        <v>22594.27</v>
      </c>
      <c r="J324" s="13"/>
      <c r="K324" s="13">
        <f>ROUND(22594.27,2)</f>
        <v>22594.27</v>
      </c>
      <c r="L324" s="13"/>
      <c r="M324" s="12">
        <f>ROUND(22594.27,2)</f>
        <v>22594.27</v>
      </c>
      <c r="N324" s="12">
        <f>ROUND(22594.27,2)</f>
        <v>22594.27</v>
      </c>
      <c r="O324" s="12">
        <f aca="true" t="shared" si="177" ref="O324:O325">ROUND(0,2)</f>
        <v>0</v>
      </c>
      <c r="P324" s="14">
        <v>0</v>
      </c>
      <c r="Q324" s="14">
        <v>100</v>
      </c>
    </row>
    <row r="325" spans="1:17" ht="12.75" customHeight="1">
      <c r="A325" s="15" t="s">
        <v>242</v>
      </c>
      <c r="B325" s="15"/>
      <c r="C325" s="15"/>
      <c r="D325" s="15"/>
      <c r="E325" s="16" t="s">
        <v>243</v>
      </c>
      <c r="F325" s="17">
        <f t="shared" si="176"/>
        <v>22594.27</v>
      </c>
      <c r="G325" s="17">
        <f>ROUND(0,2)</f>
        <v>0</v>
      </c>
      <c r="H325" s="17">
        <f aca="true" t="shared" si="178" ref="H325:H327">ROUND(0,2)</f>
        <v>0</v>
      </c>
      <c r="I325" s="17">
        <f aca="true" t="shared" si="179" ref="I325:I327">ROUND(0,2)</f>
        <v>0</v>
      </c>
      <c r="J325" s="17"/>
      <c r="K325" s="17">
        <f aca="true" t="shared" si="180" ref="K325:K327">ROUND(0,2)</f>
        <v>0</v>
      </c>
      <c r="L325" s="17"/>
      <c r="M325" s="17">
        <f aca="true" t="shared" si="181" ref="M325:M327">ROUND(0,2)</f>
        <v>0</v>
      </c>
      <c r="N325" s="17">
        <f aca="true" t="shared" si="182" ref="N325:N327">ROUND(0,2)</f>
        <v>0</v>
      </c>
      <c r="O325" s="17">
        <f t="shared" si="177"/>
        <v>0</v>
      </c>
      <c r="P325" s="18">
        <v>100</v>
      </c>
      <c r="Q325" s="18">
        <v>100</v>
      </c>
    </row>
    <row r="326" spans="1:17" ht="12.75" customHeight="1">
      <c r="A326" s="10"/>
      <c r="B326" s="11" t="s">
        <v>244</v>
      </c>
      <c r="C326" s="11"/>
      <c r="D326" s="11"/>
      <c r="E326" s="12">
        <f>ROUND(358518.2,2)</f>
        <v>358518.2</v>
      </c>
      <c r="F326" s="12">
        <f>ROUND(-323328,2)</f>
        <v>-323328</v>
      </c>
      <c r="G326" s="12">
        <f>ROUND(35190.2,2)</f>
        <v>35190.2</v>
      </c>
      <c r="H326" s="12">
        <f t="shared" si="178"/>
        <v>0</v>
      </c>
      <c r="I326" s="13">
        <f t="shared" si="179"/>
        <v>0</v>
      </c>
      <c r="J326" s="13"/>
      <c r="K326" s="13">
        <f t="shared" si="180"/>
        <v>0</v>
      </c>
      <c r="L326" s="13"/>
      <c r="M326" s="12">
        <f t="shared" si="181"/>
        <v>0</v>
      </c>
      <c r="N326" s="12">
        <f t="shared" si="182"/>
        <v>0</v>
      </c>
      <c r="O326" s="12">
        <f>ROUND(35190.2,2)</f>
        <v>35190.2</v>
      </c>
      <c r="P326" s="14">
        <v>99.99999999999996</v>
      </c>
      <c r="Q326" s="14">
        <v>0</v>
      </c>
    </row>
    <row r="327" spans="1:17" ht="12.75" customHeight="1">
      <c r="A327" s="15" t="s">
        <v>245</v>
      </c>
      <c r="B327" s="15"/>
      <c r="C327" s="15"/>
      <c r="D327" s="15"/>
      <c r="E327" s="16" t="s">
        <v>246</v>
      </c>
      <c r="F327" s="17">
        <f>ROUND(0,2)</f>
        <v>0</v>
      </c>
      <c r="G327" s="17">
        <f>ROUND(0,2)</f>
        <v>0</v>
      </c>
      <c r="H327" s="17">
        <f t="shared" si="178"/>
        <v>0</v>
      </c>
      <c r="I327" s="17">
        <f t="shared" si="179"/>
        <v>0</v>
      </c>
      <c r="J327" s="17"/>
      <c r="K327" s="17">
        <f t="shared" si="180"/>
        <v>0</v>
      </c>
      <c r="L327" s="17"/>
      <c r="M327" s="17">
        <f t="shared" si="181"/>
        <v>0</v>
      </c>
      <c r="N327" s="17">
        <f t="shared" si="182"/>
        <v>0</v>
      </c>
      <c r="O327" s="17">
        <f>ROUND(35190.2,2)</f>
        <v>35190.2</v>
      </c>
      <c r="P327" s="18">
        <v>0</v>
      </c>
      <c r="Q327" s="18">
        <v>0</v>
      </c>
    </row>
    <row r="328" spans="1:17" ht="12.75" customHeight="1">
      <c r="A328" s="19" t="s">
        <v>210</v>
      </c>
      <c r="B328" s="19"/>
      <c r="C328" s="19"/>
      <c r="D328" s="19"/>
      <c r="E328" s="20">
        <f>SUM('DS1'!$A$81:$A$84)</f>
        <v>358518.2</v>
      </c>
      <c r="F328" s="20">
        <v>88136.82</v>
      </c>
      <c r="G328" s="20">
        <v>446655.02</v>
      </c>
      <c r="H328" s="20">
        <v>410786.09</v>
      </c>
      <c r="I328" s="21">
        <v>410786.09</v>
      </c>
      <c r="J328" s="21"/>
      <c r="K328" s="21">
        <v>307688.59</v>
      </c>
      <c r="L328" s="21"/>
      <c r="M328" s="20">
        <v>307688.59</v>
      </c>
      <c r="N328" s="20">
        <v>307688.59</v>
      </c>
      <c r="O328" s="20">
        <v>35868.93</v>
      </c>
      <c r="P328" s="22">
        <v>8.030566856720876</v>
      </c>
      <c r="Q328" s="22">
        <v>68.8873014345613</v>
      </c>
    </row>
    <row r="329" spans="1:17" ht="12.75" customHeight="1">
      <c r="A329" s="23"/>
      <c r="B329" s="24"/>
      <c r="C329" s="24"/>
      <c r="D329" s="24"/>
      <c r="E329" s="23"/>
      <c r="F329" s="20">
        <v>88136.82</v>
      </c>
      <c r="G329" s="20">
        <v>0</v>
      </c>
      <c r="H329" s="20">
        <v>0</v>
      </c>
      <c r="I329" s="21">
        <v>103097.5</v>
      </c>
      <c r="J329" s="21"/>
      <c r="K329" s="21">
        <v>0</v>
      </c>
      <c r="L329" s="21"/>
      <c r="M329" s="20">
        <v>0</v>
      </c>
      <c r="N329" s="20">
        <v>0</v>
      </c>
      <c r="O329" s="20">
        <v>138966.43000000002</v>
      </c>
      <c r="P329" s="22">
        <v>91.96943314327912</v>
      </c>
      <c r="Q329" s="22">
        <v>100</v>
      </c>
    </row>
    <row r="330" spans="1:17" ht="20.25" customHeight="1">
      <c r="A330" s="23"/>
      <c r="B330" s="24"/>
      <c r="C330" s="24"/>
      <c r="D330" s="24"/>
      <c r="E330" s="23"/>
      <c r="F330" s="23"/>
      <c r="G330" s="23"/>
      <c r="H330" s="23"/>
      <c r="I330" s="24"/>
      <c r="J330" s="24"/>
      <c r="K330" s="24"/>
      <c r="L330" s="24"/>
      <c r="M330" s="23"/>
      <c r="N330" s="23"/>
      <c r="O330" s="23"/>
      <c r="P330" s="23"/>
      <c r="Q330" s="23"/>
    </row>
    <row r="331" spans="1:17" ht="12.75" customHeight="1">
      <c r="A331" s="19" t="s">
        <v>247</v>
      </c>
      <c r="B331" s="19"/>
      <c r="C331" s="19"/>
      <c r="D331" s="19"/>
      <c r="E331" s="20">
        <f>SUM('DS1'!$A$80:$A$84)</f>
        <v>5358518.2</v>
      </c>
      <c r="F331" s="20">
        <v>88136.82</v>
      </c>
      <c r="G331" s="20">
        <v>5446655.02</v>
      </c>
      <c r="H331" s="20">
        <v>410786.09</v>
      </c>
      <c r="I331" s="21">
        <v>410786.09</v>
      </c>
      <c r="J331" s="21"/>
      <c r="K331" s="21">
        <v>307688.59</v>
      </c>
      <c r="L331" s="21"/>
      <c r="M331" s="20">
        <v>307688.59</v>
      </c>
      <c r="N331" s="20">
        <v>307688.59</v>
      </c>
      <c r="O331" s="20">
        <v>5035868.93</v>
      </c>
      <c r="P331" s="22">
        <v>92.45801159626225</v>
      </c>
      <c r="Q331" s="22">
        <v>5.6491293990563785</v>
      </c>
    </row>
    <row r="332" spans="1:17" ht="12.75" customHeight="1">
      <c r="A332" s="23"/>
      <c r="B332" s="24"/>
      <c r="C332" s="24"/>
      <c r="D332" s="24"/>
      <c r="E332" s="23"/>
      <c r="F332" s="20">
        <v>88136.82</v>
      </c>
      <c r="G332" s="20">
        <v>0</v>
      </c>
      <c r="H332" s="20">
        <v>0</v>
      </c>
      <c r="I332" s="21">
        <v>103097.5</v>
      </c>
      <c r="J332" s="21"/>
      <c r="K332" s="21">
        <v>0</v>
      </c>
      <c r="L332" s="21"/>
      <c r="M332" s="20">
        <v>0</v>
      </c>
      <c r="N332" s="20">
        <v>0</v>
      </c>
      <c r="O332" s="20">
        <v>5138966.430000001</v>
      </c>
      <c r="P332" s="22">
        <v>7.541988403737751</v>
      </c>
      <c r="Q332" s="22">
        <v>100</v>
      </c>
    </row>
    <row r="333" spans="1:17" ht="18" customHeight="1">
      <c r="A333" s="23"/>
      <c r="B333" s="24"/>
      <c r="C333" s="24"/>
      <c r="D333" s="24"/>
      <c r="E333" s="23"/>
      <c r="F333" s="23"/>
      <c r="G333" s="23"/>
      <c r="H333" s="23"/>
      <c r="I333" s="24"/>
      <c r="J333" s="24"/>
      <c r="K333" s="24"/>
      <c r="L333" s="24"/>
      <c r="M333" s="23"/>
      <c r="N333" s="23"/>
      <c r="O333" s="23"/>
      <c r="P333" s="23"/>
      <c r="Q333" s="23"/>
    </row>
    <row r="334" spans="1:17" ht="12.75" customHeight="1">
      <c r="A334" s="10"/>
      <c r="B334" s="11" t="s">
        <v>248</v>
      </c>
      <c r="C334" s="11"/>
      <c r="D334" s="11"/>
      <c r="E334" s="12">
        <f>ROUND(1000,2)</f>
        <v>1000</v>
      </c>
      <c r="F334" s="12">
        <f aca="true" t="shared" si="183" ref="F334:F335">ROUND(0,2)</f>
        <v>0</v>
      </c>
      <c r="G334" s="12">
        <f>ROUND(1000,2)</f>
        <v>1000</v>
      </c>
      <c r="H334" s="12">
        <f aca="true" t="shared" si="184" ref="H334:H335">ROUND(0,2)</f>
        <v>0</v>
      </c>
      <c r="I334" s="13">
        <f aca="true" t="shared" si="185" ref="I334:I335">ROUND(0,2)</f>
        <v>0</v>
      </c>
      <c r="J334" s="13"/>
      <c r="K334" s="13">
        <f aca="true" t="shared" si="186" ref="K334:K335">ROUND(0,2)</f>
        <v>0</v>
      </c>
      <c r="L334" s="13"/>
      <c r="M334" s="12">
        <f aca="true" t="shared" si="187" ref="M334:M335">ROUND(0,2)</f>
        <v>0</v>
      </c>
      <c r="N334" s="12">
        <f aca="true" t="shared" si="188" ref="N334:N335">ROUND(0,2)</f>
        <v>0</v>
      </c>
      <c r="O334" s="12">
        <f aca="true" t="shared" si="189" ref="O334:O335">ROUND(1000,2)</f>
        <v>1000</v>
      </c>
      <c r="P334" s="14">
        <v>100</v>
      </c>
      <c r="Q334" s="14">
        <v>0</v>
      </c>
    </row>
    <row r="335" spans="1:17" ht="12.75" customHeight="1">
      <c r="A335" s="15" t="s">
        <v>249</v>
      </c>
      <c r="B335" s="15"/>
      <c r="C335" s="15"/>
      <c r="D335" s="15"/>
      <c r="E335" s="16" t="s">
        <v>232</v>
      </c>
      <c r="F335" s="17">
        <f t="shared" si="183"/>
        <v>0</v>
      </c>
      <c r="G335" s="17">
        <f>ROUND(0,2)</f>
        <v>0</v>
      </c>
      <c r="H335" s="17">
        <f t="shared" si="184"/>
        <v>0</v>
      </c>
      <c r="I335" s="17">
        <f t="shared" si="185"/>
        <v>0</v>
      </c>
      <c r="J335" s="17"/>
      <c r="K335" s="17">
        <f t="shared" si="186"/>
        <v>0</v>
      </c>
      <c r="L335" s="17"/>
      <c r="M335" s="17">
        <f t="shared" si="187"/>
        <v>0</v>
      </c>
      <c r="N335" s="17">
        <f t="shared" si="188"/>
        <v>0</v>
      </c>
      <c r="O335" s="17">
        <f t="shared" si="189"/>
        <v>1000</v>
      </c>
      <c r="P335" s="18">
        <v>0</v>
      </c>
      <c r="Q335" s="18">
        <v>0</v>
      </c>
    </row>
    <row r="336" spans="1:17" ht="12.75" customHeight="1">
      <c r="A336" s="19" t="s">
        <v>183</v>
      </c>
      <c r="B336" s="19"/>
      <c r="C336" s="19"/>
      <c r="D336" s="19"/>
      <c r="E336" s="20">
        <f>SUM('DS1'!$A$85)</f>
        <v>1000</v>
      </c>
      <c r="F336" s="20">
        <v>0</v>
      </c>
      <c r="G336" s="20">
        <v>1000</v>
      </c>
      <c r="H336" s="20">
        <v>0</v>
      </c>
      <c r="I336" s="21">
        <v>0</v>
      </c>
      <c r="J336" s="21"/>
      <c r="K336" s="21">
        <v>0</v>
      </c>
      <c r="L336" s="21"/>
      <c r="M336" s="20">
        <v>0</v>
      </c>
      <c r="N336" s="20">
        <v>0</v>
      </c>
      <c r="O336" s="20">
        <v>1000</v>
      </c>
      <c r="P336" s="22">
        <v>100</v>
      </c>
      <c r="Q336" s="22">
        <v>0</v>
      </c>
    </row>
    <row r="337" spans="1:17" ht="12.75" customHeight="1">
      <c r="A337" s="23"/>
      <c r="B337" s="24"/>
      <c r="C337" s="24"/>
      <c r="D337" s="24"/>
      <c r="E337" s="23"/>
      <c r="F337" s="20">
        <v>0</v>
      </c>
      <c r="G337" s="20">
        <v>0</v>
      </c>
      <c r="H337" s="20">
        <v>0</v>
      </c>
      <c r="I337" s="21">
        <v>0</v>
      </c>
      <c r="J337" s="21"/>
      <c r="K337" s="21">
        <v>0</v>
      </c>
      <c r="L337" s="21"/>
      <c r="M337" s="20">
        <v>0</v>
      </c>
      <c r="N337" s="20">
        <v>0</v>
      </c>
      <c r="O337" s="20">
        <v>1000</v>
      </c>
      <c r="P337" s="22">
        <v>0</v>
      </c>
      <c r="Q337" s="22">
        <v>0</v>
      </c>
    </row>
    <row r="338" spans="1:17" ht="20.25" customHeight="1">
      <c r="A338" s="23"/>
      <c r="B338" s="24"/>
      <c r="C338" s="24"/>
      <c r="D338" s="24"/>
      <c r="E338" s="23"/>
      <c r="F338" s="23"/>
      <c r="G338" s="23"/>
      <c r="H338" s="23"/>
      <c r="I338" s="24"/>
      <c r="J338" s="24"/>
      <c r="K338" s="24"/>
      <c r="L338" s="24"/>
      <c r="M338" s="23"/>
      <c r="N338" s="23"/>
      <c r="O338" s="23"/>
      <c r="P338" s="23"/>
      <c r="Q338" s="23"/>
    </row>
    <row r="339" spans="1:17" ht="12.75" customHeight="1">
      <c r="A339" s="10"/>
      <c r="B339" s="11" t="s">
        <v>250</v>
      </c>
      <c r="C339" s="11"/>
      <c r="D339" s="11"/>
      <c r="E339" s="12">
        <f>ROUND(940000,2)</f>
        <v>940000</v>
      </c>
      <c r="F339" s="12">
        <f>ROUND(92173.16,2)</f>
        <v>92173.16</v>
      </c>
      <c r="G339" s="12">
        <f>ROUND(1032173.16,2)</f>
        <v>1032173.16</v>
      </c>
      <c r="H339" s="12">
        <f>ROUND(1033918.16,2)</f>
        <v>1033918.16</v>
      </c>
      <c r="I339" s="13">
        <f>ROUND(1033918.16,2)</f>
        <v>1033918.16</v>
      </c>
      <c r="J339" s="13"/>
      <c r="K339" s="13">
        <f>ROUND(1033918.16,2)</f>
        <v>1033918.16</v>
      </c>
      <c r="L339" s="13"/>
      <c r="M339" s="12">
        <f>ROUND(1033918.16,2)</f>
        <v>1033918.16</v>
      </c>
      <c r="N339" s="12">
        <f>ROUND(1033918.16,2)</f>
        <v>1033918.16</v>
      </c>
      <c r="O339" s="12">
        <f aca="true" t="shared" si="190" ref="O339:O340">ROUND(-1745,2)</f>
        <v>-1745</v>
      </c>
      <c r="P339" s="14">
        <v>-0.16906078046051884</v>
      </c>
      <c r="Q339" s="14">
        <v>100.16906078046053</v>
      </c>
    </row>
    <row r="340" spans="1:17" ht="12.75" customHeight="1">
      <c r="A340" s="15" t="s">
        <v>251</v>
      </c>
      <c r="B340" s="15"/>
      <c r="C340" s="15"/>
      <c r="D340" s="15"/>
      <c r="E340" s="16" t="s">
        <v>232</v>
      </c>
      <c r="F340" s="17">
        <f>ROUND(0,2)</f>
        <v>0</v>
      </c>
      <c r="G340" s="17">
        <f>ROUND(0,2)</f>
        <v>0</v>
      </c>
      <c r="H340" s="17">
        <f>ROUND(0,2)</f>
        <v>0</v>
      </c>
      <c r="I340" s="17">
        <f>ROUND(0,2)</f>
        <v>0</v>
      </c>
      <c r="J340" s="17"/>
      <c r="K340" s="17">
        <f>ROUND(0,2)</f>
        <v>0</v>
      </c>
      <c r="L340" s="17"/>
      <c r="M340" s="17">
        <f>ROUND(0,2)</f>
        <v>0</v>
      </c>
      <c r="N340" s="17">
        <f>ROUND(0,2)</f>
        <v>0</v>
      </c>
      <c r="O340" s="17">
        <f t="shared" si="190"/>
        <v>-1745</v>
      </c>
      <c r="P340" s="18">
        <v>100.16906078046053</v>
      </c>
      <c r="Q340" s="18">
        <v>100</v>
      </c>
    </row>
    <row r="341" spans="1:17" ht="12.75" customHeight="1">
      <c r="A341" s="19" t="s">
        <v>252</v>
      </c>
      <c r="B341" s="19"/>
      <c r="C341" s="19"/>
      <c r="D341" s="19"/>
      <c r="E341" s="20">
        <f>SUM('DS1'!$A$86)</f>
        <v>940000</v>
      </c>
      <c r="F341" s="20">
        <v>92173.16</v>
      </c>
      <c r="G341" s="20">
        <v>1032173.16</v>
      </c>
      <c r="H341" s="20">
        <v>1033918.16</v>
      </c>
      <c r="I341" s="21">
        <v>1033918.16</v>
      </c>
      <c r="J341" s="21"/>
      <c r="K341" s="21">
        <v>1033918.16</v>
      </c>
      <c r="L341" s="21"/>
      <c r="M341" s="20">
        <v>1033918.16</v>
      </c>
      <c r="N341" s="20">
        <v>1033918.16</v>
      </c>
      <c r="O341" s="20">
        <v>-1745</v>
      </c>
      <c r="P341" s="22">
        <v>-0.16906078046051884</v>
      </c>
      <c r="Q341" s="22">
        <v>100.16906078046053</v>
      </c>
    </row>
    <row r="342" spans="1:17" ht="12.75" customHeight="1">
      <c r="A342" s="23"/>
      <c r="B342" s="24"/>
      <c r="C342" s="24"/>
      <c r="D342" s="24"/>
      <c r="E342" s="23"/>
      <c r="F342" s="20">
        <v>0</v>
      </c>
      <c r="G342" s="20">
        <v>0</v>
      </c>
      <c r="H342" s="20">
        <v>0</v>
      </c>
      <c r="I342" s="21">
        <v>0</v>
      </c>
      <c r="J342" s="21"/>
      <c r="K342" s="21">
        <v>0</v>
      </c>
      <c r="L342" s="21"/>
      <c r="M342" s="20">
        <v>0</v>
      </c>
      <c r="N342" s="20">
        <v>0</v>
      </c>
      <c r="O342" s="20">
        <v>-1745</v>
      </c>
      <c r="P342" s="22">
        <v>100.16906078046053</v>
      </c>
      <c r="Q342" s="22">
        <v>100</v>
      </c>
    </row>
    <row r="343" spans="1:17" ht="20.25" customHeight="1">
      <c r="A343" s="23"/>
      <c r="B343" s="24"/>
      <c r="C343" s="24"/>
      <c r="D343" s="24"/>
      <c r="E343" s="23"/>
      <c r="F343" s="23"/>
      <c r="G343" s="23"/>
      <c r="H343" s="23"/>
      <c r="I343" s="24"/>
      <c r="J343" s="24"/>
      <c r="K343" s="24"/>
      <c r="L343" s="24"/>
      <c r="M343" s="23"/>
      <c r="N343" s="23"/>
      <c r="O343" s="23"/>
      <c r="P343" s="23"/>
      <c r="Q343" s="23"/>
    </row>
    <row r="344" spans="1:17" ht="12.75" customHeight="1">
      <c r="A344" s="10"/>
      <c r="B344" s="11" t="s">
        <v>253</v>
      </c>
      <c r="C344" s="11"/>
      <c r="D344" s="11"/>
      <c r="E344" s="12">
        <f>ROUND(100,2)</f>
        <v>100</v>
      </c>
      <c r="F344" s="12">
        <f aca="true" t="shared" si="191" ref="F344:F347">ROUND(0,2)</f>
        <v>0</v>
      </c>
      <c r="G344" s="12">
        <f>ROUND(100,2)</f>
        <v>100</v>
      </c>
      <c r="H344" s="12">
        <f aca="true" t="shared" si="192" ref="H344:H345">ROUND(0,2)</f>
        <v>0</v>
      </c>
      <c r="I344" s="13">
        <f aca="true" t="shared" si="193" ref="I344:I345">ROUND(0,2)</f>
        <v>0</v>
      </c>
      <c r="J344" s="13"/>
      <c r="K344" s="13">
        <f aca="true" t="shared" si="194" ref="K344:K345">ROUND(0,2)</f>
        <v>0</v>
      </c>
      <c r="L344" s="13"/>
      <c r="M344" s="12">
        <f aca="true" t="shared" si="195" ref="M344:M345">ROUND(0,2)</f>
        <v>0</v>
      </c>
      <c r="N344" s="12">
        <f aca="true" t="shared" si="196" ref="N344:N345">ROUND(0,2)</f>
        <v>0</v>
      </c>
      <c r="O344" s="12">
        <f aca="true" t="shared" si="197" ref="O344:O345">ROUND(100,2)</f>
        <v>100</v>
      </c>
      <c r="P344" s="14">
        <v>100</v>
      </c>
      <c r="Q344" s="14">
        <v>0</v>
      </c>
    </row>
    <row r="345" spans="1:17" ht="12.75" customHeight="1">
      <c r="A345" s="15" t="s">
        <v>254</v>
      </c>
      <c r="B345" s="15"/>
      <c r="C345" s="15"/>
      <c r="D345" s="15"/>
      <c r="E345" s="16" t="s">
        <v>232</v>
      </c>
      <c r="F345" s="17">
        <f t="shared" si="191"/>
        <v>0</v>
      </c>
      <c r="G345" s="17">
        <f>ROUND(0,2)</f>
        <v>0</v>
      </c>
      <c r="H345" s="17">
        <f t="shared" si="192"/>
        <v>0</v>
      </c>
      <c r="I345" s="17">
        <f t="shared" si="193"/>
        <v>0</v>
      </c>
      <c r="J345" s="17"/>
      <c r="K345" s="17">
        <f t="shared" si="194"/>
        <v>0</v>
      </c>
      <c r="L345" s="17"/>
      <c r="M345" s="17">
        <f t="shared" si="195"/>
        <v>0</v>
      </c>
      <c r="N345" s="17">
        <f t="shared" si="196"/>
        <v>0</v>
      </c>
      <c r="O345" s="17">
        <f t="shared" si="197"/>
        <v>100</v>
      </c>
      <c r="P345" s="18">
        <v>0</v>
      </c>
      <c r="Q345" s="18">
        <v>0</v>
      </c>
    </row>
    <row r="346" spans="1:17" ht="12.75" customHeight="1">
      <c r="A346" s="10"/>
      <c r="B346" s="11" t="s">
        <v>255</v>
      </c>
      <c r="C346" s="11"/>
      <c r="D346" s="11"/>
      <c r="E346" s="12">
        <f>ROUND(2082891.86,2)</f>
        <v>2082891.86</v>
      </c>
      <c r="F346" s="12">
        <f t="shared" si="191"/>
        <v>0</v>
      </c>
      <c r="G346" s="12">
        <f>ROUND(2082891.86,2)</f>
        <v>2082891.86</v>
      </c>
      <c r="H346" s="12">
        <f>ROUND(1520472.5,2)</f>
        <v>1520472.5</v>
      </c>
      <c r="I346" s="13">
        <f>ROUND(1520472.5,2)</f>
        <v>1520472.5</v>
      </c>
      <c r="J346" s="13"/>
      <c r="K346" s="13">
        <f>ROUND(1520472.5,2)</f>
        <v>1520472.5</v>
      </c>
      <c r="L346" s="13"/>
      <c r="M346" s="12">
        <f>ROUND(1520472.5,2)</f>
        <v>1520472.5</v>
      </c>
      <c r="N346" s="12">
        <f>ROUND(714486.4,2)</f>
        <v>714486.4</v>
      </c>
      <c r="O346" s="12">
        <f>ROUND(562419.36,2)</f>
        <v>562419.36</v>
      </c>
      <c r="P346" s="14">
        <v>27.001851166675543</v>
      </c>
      <c r="Q346" s="14">
        <v>72.99814883332445</v>
      </c>
    </row>
    <row r="347" spans="1:17" ht="12.75" customHeight="1">
      <c r="A347" s="15" t="s">
        <v>256</v>
      </c>
      <c r="B347" s="15"/>
      <c r="C347" s="15"/>
      <c r="D347" s="15"/>
      <c r="E347" s="16" t="s">
        <v>232</v>
      </c>
      <c r="F347" s="17">
        <f t="shared" si="191"/>
        <v>0</v>
      </c>
      <c r="G347" s="17">
        <f>ROUND(0,2)</f>
        <v>0</v>
      </c>
      <c r="H347" s="17">
        <f>ROUND(0,2)</f>
        <v>0</v>
      </c>
      <c r="I347" s="17">
        <f>ROUND(0,2)</f>
        <v>0</v>
      </c>
      <c r="J347" s="17"/>
      <c r="K347" s="17">
        <f>ROUND(0,2)</f>
        <v>0</v>
      </c>
      <c r="L347" s="17"/>
      <c r="M347" s="17">
        <f>ROUND(805986.1,2)</f>
        <v>805986.1</v>
      </c>
      <c r="N347" s="17">
        <f>ROUND(0,2)</f>
        <v>0</v>
      </c>
      <c r="O347" s="17">
        <f>ROUND(562419.36,2)</f>
        <v>562419.36</v>
      </c>
      <c r="P347" s="18">
        <v>72.99814883332445</v>
      </c>
      <c r="Q347" s="18">
        <v>46.99107678698562</v>
      </c>
    </row>
    <row r="348" spans="1:17" ht="12.75" customHeight="1">
      <c r="A348" s="19" t="s">
        <v>37</v>
      </c>
      <c r="B348" s="19"/>
      <c r="C348" s="19"/>
      <c r="D348" s="19"/>
      <c r="E348" s="20">
        <f>SUM('DS1'!$A$87:$A$88)</f>
        <v>2082991.86</v>
      </c>
      <c r="F348" s="20">
        <v>0</v>
      </c>
      <c r="G348" s="20">
        <v>2082991.86</v>
      </c>
      <c r="H348" s="20">
        <v>1520472.5</v>
      </c>
      <c r="I348" s="21">
        <v>1520472.5</v>
      </c>
      <c r="J348" s="21"/>
      <c r="K348" s="21">
        <v>1520472.5</v>
      </c>
      <c r="L348" s="21"/>
      <c r="M348" s="20">
        <v>1520472.5</v>
      </c>
      <c r="N348" s="20">
        <v>714486.4</v>
      </c>
      <c r="O348" s="20">
        <v>562519.36</v>
      </c>
      <c r="P348" s="22">
        <v>27.005355652229955</v>
      </c>
      <c r="Q348" s="22">
        <v>72.99464434777003</v>
      </c>
    </row>
    <row r="349" spans="1:17" ht="12.75" customHeight="1">
      <c r="A349" s="23"/>
      <c r="B349" s="24"/>
      <c r="C349" s="24"/>
      <c r="D349" s="24"/>
      <c r="E349" s="23"/>
      <c r="F349" s="20">
        <v>0</v>
      </c>
      <c r="G349" s="20">
        <v>0</v>
      </c>
      <c r="H349" s="20">
        <v>0</v>
      </c>
      <c r="I349" s="21">
        <v>0</v>
      </c>
      <c r="J349" s="21"/>
      <c r="K349" s="21">
        <v>0</v>
      </c>
      <c r="L349" s="21"/>
      <c r="M349" s="20">
        <v>805986.1</v>
      </c>
      <c r="N349" s="20">
        <v>0</v>
      </c>
      <c r="O349" s="20">
        <v>562519.3600000001</v>
      </c>
      <c r="P349" s="22">
        <v>72.99464434777003</v>
      </c>
      <c r="Q349" s="22">
        <v>46.99107678698562</v>
      </c>
    </row>
    <row r="350" spans="1:17" ht="20.25" customHeight="1">
      <c r="A350" s="23"/>
      <c r="B350" s="24"/>
      <c r="C350" s="24"/>
      <c r="D350" s="24"/>
      <c r="E350" s="23"/>
      <c r="F350" s="23"/>
      <c r="G350" s="23"/>
      <c r="H350" s="23"/>
      <c r="I350" s="24"/>
      <c r="J350" s="24"/>
      <c r="K350" s="24"/>
      <c r="L350" s="24"/>
      <c r="M350" s="23"/>
      <c r="N350" s="23"/>
      <c r="O350" s="23"/>
      <c r="P350" s="23"/>
      <c r="Q350" s="23"/>
    </row>
    <row r="351" spans="1:17" ht="12.75" customHeight="1">
      <c r="A351" s="19" t="s">
        <v>257</v>
      </c>
      <c r="B351" s="19"/>
      <c r="C351" s="19"/>
      <c r="D351" s="19"/>
      <c r="E351" s="20">
        <f>SUM('DS1'!$A$85:$A$88)</f>
        <v>3023991.8600000003</v>
      </c>
      <c r="F351" s="20">
        <v>92173.16</v>
      </c>
      <c r="G351" s="20">
        <v>3116165.02</v>
      </c>
      <c r="H351" s="20">
        <v>2554390.66</v>
      </c>
      <c r="I351" s="21">
        <v>2554390.66</v>
      </c>
      <c r="J351" s="21"/>
      <c r="K351" s="21">
        <v>2554390.66</v>
      </c>
      <c r="L351" s="21"/>
      <c r="M351" s="20">
        <v>2554390.66</v>
      </c>
      <c r="N351" s="20">
        <v>1748404.56</v>
      </c>
      <c r="O351" s="20">
        <v>561774.36</v>
      </c>
      <c r="P351" s="22">
        <v>18.02774745221933</v>
      </c>
      <c r="Q351" s="22">
        <v>81.97225254778068</v>
      </c>
    </row>
    <row r="352" spans="1:17" ht="12.75" customHeight="1">
      <c r="A352" s="23"/>
      <c r="B352" s="24"/>
      <c r="C352" s="24"/>
      <c r="D352" s="24"/>
      <c r="E352" s="23"/>
      <c r="F352" s="20">
        <v>0</v>
      </c>
      <c r="G352" s="20">
        <v>0</v>
      </c>
      <c r="H352" s="20">
        <v>0</v>
      </c>
      <c r="I352" s="21">
        <v>0</v>
      </c>
      <c r="J352" s="21"/>
      <c r="K352" s="21">
        <v>0</v>
      </c>
      <c r="L352" s="21"/>
      <c r="M352" s="20">
        <v>805986.1</v>
      </c>
      <c r="N352" s="20">
        <v>0</v>
      </c>
      <c r="O352" s="20">
        <v>561774.3600000001</v>
      </c>
      <c r="P352" s="22">
        <v>81.97225254778068</v>
      </c>
      <c r="Q352" s="22">
        <v>68.44703072943432</v>
      </c>
    </row>
    <row r="353" spans="1:17" ht="18" customHeight="1">
      <c r="A353" s="23"/>
      <c r="B353" s="24"/>
      <c r="C353" s="24"/>
      <c r="D353" s="24"/>
      <c r="E353" s="23"/>
      <c r="F353" s="23"/>
      <c r="G353" s="23"/>
      <c r="H353" s="23"/>
      <c r="I353" s="24"/>
      <c r="J353" s="24"/>
      <c r="K353" s="24"/>
      <c r="L353" s="24"/>
      <c r="M353" s="23"/>
      <c r="N353" s="23"/>
      <c r="O353" s="23"/>
      <c r="P353" s="23"/>
      <c r="Q353" s="23"/>
    </row>
    <row r="354" spans="1:17" ht="12.75" customHeight="1">
      <c r="A354" s="10"/>
      <c r="B354" s="11" t="s">
        <v>258</v>
      </c>
      <c r="C354" s="11"/>
      <c r="D354" s="11"/>
      <c r="E354" s="12">
        <f>ROUND(2656924.47,2)</f>
        <v>2656924.47</v>
      </c>
      <c r="F354" s="12">
        <f aca="true" t="shared" si="198" ref="F354:F355">ROUND(0,2)</f>
        <v>0</v>
      </c>
      <c r="G354" s="12">
        <f>ROUND(2656924.47,2)</f>
        <v>2656924.47</v>
      </c>
      <c r="H354" s="12">
        <f>ROUND(1846865.74,2)</f>
        <v>1846865.74</v>
      </c>
      <c r="I354" s="13">
        <f>ROUND(1846865.74,2)</f>
        <v>1846865.74</v>
      </c>
      <c r="J354" s="13"/>
      <c r="K354" s="13">
        <f>ROUND(1846865.74,2)</f>
        <v>1846865.74</v>
      </c>
      <c r="L354" s="13"/>
      <c r="M354" s="12">
        <f>ROUND(1846865.74,2)</f>
        <v>1846865.74</v>
      </c>
      <c r="N354" s="12">
        <f>ROUND(1142459.87,2)</f>
        <v>1142459.87</v>
      </c>
      <c r="O354" s="12">
        <f>ROUND(810058.73,2)</f>
        <v>810058.73</v>
      </c>
      <c r="P354" s="14">
        <v>30.488587054189008</v>
      </c>
      <c r="Q354" s="14">
        <v>69.51141294581097</v>
      </c>
    </row>
    <row r="355" spans="1:17" ht="12.75" customHeight="1">
      <c r="A355" s="15" t="s">
        <v>259</v>
      </c>
      <c r="B355" s="15"/>
      <c r="C355" s="15"/>
      <c r="D355" s="15"/>
      <c r="E355" s="16" t="s">
        <v>232</v>
      </c>
      <c r="F355" s="17">
        <f t="shared" si="198"/>
        <v>0</v>
      </c>
      <c r="G355" s="17">
        <f>ROUND(0,2)</f>
        <v>0</v>
      </c>
      <c r="H355" s="17">
        <f>ROUND(0,2)</f>
        <v>0</v>
      </c>
      <c r="I355" s="17">
        <f>ROUND(0,2)</f>
        <v>0</v>
      </c>
      <c r="J355" s="17"/>
      <c r="K355" s="17">
        <f>ROUND(0,2)</f>
        <v>0</v>
      </c>
      <c r="L355" s="17"/>
      <c r="M355" s="17">
        <f>ROUND(704405.87,2)</f>
        <v>704405.87</v>
      </c>
      <c r="N355" s="17">
        <f>ROUND(0,2)</f>
        <v>0</v>
      </c>
      <c r="O355" s="17">
        <f>ROUND(810058.73,2)</f>
        <v>810058.73</v>
      </c>
      <c r="P355" s="18">
        <v>69.51141294581097</v>
      </c>
      <c r="Q355" s="18">
        <v>61.859389410732156</v>
      </c>
    </row>
    <row r="356" spans="1:17" ht="12.75" customHeight="1">
      <c r="A356" s="19" t="s">
        <v>37</v>
      </c>
      <c r="B356" s="19"/>
      <c r="C356" s="19"/>
      <c r="D356" s="19"/>
      <c r="E356" s="20">
        <f>SUM('DS1'!$A$89)</f>
        <v>2656924.47</v>
      </c>
      <c r="F356" s="20">
        <v>0</v>
      </c>
      <c r="G356" s="20">
        <v>2656924.47</v>
      </c>
      <c r="H356" s="20">
        <v>1846865.74</v>
      </c>
      <c r="I356" s="21">
        <v>1846865.74</v>
      </c>
      <c r="J356" s="21"/>
      <c r="K356" s="21">
        <v>1846865.74</v>
      </c>
      <c r="L356" s="21"/>
      <c r="M356" s="20">
        <v>1846865.74</v>
      </c>
      <c r="N356" s="20">
        <v>1142459.87</v>
      </c>
      <c r="O356" s="20">
        <v>810058.73</v>
      </c>
      <c r="P356" s="22">
        <v>30.488587054189008</v>
      </c>
      <c r="Q356" s="22">
        <v>69.51141294581097</v>
      </c>
    </row>
    <row r="357" spans="1:17" ht="12.75" customHeight="1">
      <c r="A357" s="23"/>
      <c r="B357" s="24"/>
      <c r="C357" s="24"/>
      <c r="D357" s="24"/>
      <c r="E357" s="23"/>
      <c r="F357" s="20">
        <v>0</v>
      </c>
      <c r="G357" s="20">
        <v>0</v>
      </c>
      <c r="H357" s="20">
        <v>0</v>
      </c>
      <c r="I357" s="21">
        <v>0</v>
      </c>
      <c r="J357" s="21"/>
      <c r="K357" s="21">
        <v>0</v>
      </c>
      <c r="L357" s="21"/>
      <c r="M357" s="20">
        <v>704405.8699999999</v>
      </c>
      <c r="N357" s="20">
        <v>0</v>
      </c>
      <c r="O357" s="20">
        <v>810058.7300000002</v>
      </c>
      <c r="P357" s="22">
        <v>69.51141294581097</v>
      </c>
      <c r="Q357" s="22">
        <v>61.859389410732156</v>
      </c>
    </row>
    <row r="358" spans="1:17" ht="20.25" customHeight="1">
      <c r="A358" s="23"/>
      <c r="B358" s="24"/>
      <c r="C358" s="24"/>
      <c r="D358" s="24"/>
      <c r="E358" s="23"/>
      <c r="F358" s="23"/>
      <c r="G358" s="23"/>
      <c r="H358" s="23"/>
      <c r="I358" s="24"/>
      <c r="J358" s="24"/>
      <c r="K358" s="24"/>
      <c r="L358" s="24"/>
      <c r="M358" s="23"/>
      <c r="N358" s="23"/>
      <c r="O358" s="23"/>
      <c r="P358" s="23"/>
      <c r="Q358" s="23"/>
    </row>
    <row r="359" spans="1:17" ht="12.75" customHeight="1">
      <c r="A359" s="19" t="s">
        <v>260</v>
      </c>
      <c r="B359" s="19"/>
      <c r="C359" s="19"/>
      <c r="D359" s="19"/>
      <c r="E359" s="20">
        <f>SUM('DS1'!$A$89)</f>
        <v>2656924.47</v>
      </c>
      <c r="F359" s="20">
        <v>0</v>
      </c>
      <c r="G359" s="20">
        <v>2656924.47</v>
      </c>
      <c r="H359" s="20">
        <v>1846865.74</v>
      </c>
      <c r="I359" s="21">
        <v>1846865.74</v>
      </c>
      <c r="J359" s="21"/>
      <c r="K359" s="21">
        <v>1846865.74</v>
      </c>
      <c r="L359" s="21"/>
      <c r="M359" s="20">
        <v>1846865.74</v>
      </c>
      <c r="N359" s="20">
        <v>1142459.87</v>
      </c>
      <c r="O359" s="20">
        <v>810058.73</v>
      </c>
      <c r="P359" s="22">
        <v>30.488587054189008</v>
      </c>
      <c r="Q359" s="22">
        <v>69.51141294581097</v>
      </c>
    </row>
    <row r="360" spans="1:17" ht="12.75" customHeight="1">
      <c r="A360" s="23"/>
      <c r="B360" s="24"/>
      <c r="C360" s="24"/>
      <c r="D360" s="24"/>
      <c r="E360" s="23"/>
      <c r="F360" s="20">
        <v>0</v>
      </c>
      <c r="G360" s="20">
        <v>0</v>
      </c>
      <c r="H360" s="20">
        <v>0</v>
      </c>
      <c r="I360" s="21">
        <v>0</v>
      </c>
      <c r="J360" s="21"/>
      <c r="K360" s="21">
        <v>0</v>
      </c>
      <c r="L360" s="21"/>
      <c r="M360" s="20">
        <v>704405.8699999999</v>
      </c>
      <c r="N360" s="20">
        <v>0</v>
      </c>
      <c r="O360" s="20">
        <v>810058.7300000002</v>
      </c>
      <c r="P360" s="22">
        <v>69.51141294581097</v>
      </c>
      <c r="Q360" s="22">
        <v>61.859389410732156</v>
      </c>
    </row>
    <row r="361" spans="1:17" ht="18" customHeight="1">
      <c r="A361" s="23"/>
      <c r="B361" s="24"/>
      <c r="C361" s="24"/>
      <c r="D361" s="24"/>
      <c r="E361" s="23"/>
      <c r="F361" s="23"/>
      <c r="G361" s="23"/>
      <c r="H361" s="23"/>
      <c r="I361" s="24"/>
      <c r="J361" s="24"/>
      <c r="K361" s="24"/>
      <c r="L361" s="24"/>
      <c r="M361" s="23"/>
      <c r="N361" s="23"/>
      <c r="O361" s="23"/>
      <c r="P361" s="23"/>
      <c r="Q361" s="23"/>
    </row>
    <row r="362" spans="1:17" ht="12.75" customHeight="1">
      <c r="A362" s="10"/>
      <c r="B362" s="11" t="s">
        <v>261</v>
      </c>
      <c r="C362" s="11"/>
      <c r="D362" s="11"/>
      <c r="E362" s="12">
        <f>ROUND(53130,2)</f>
        <v>53130</v>
      </c>
      <c r="F362" s="12">
        <f>ROUND(478.17,2)</f>
        <v>478.17</v>
      </c>
      <c r="G362" s="12">
        <f>ROUND(53608.17,2)</f>
        <v>53608.17</v>
      </c>
      <c r="H362" s="12">
        <f>ROUND(16640.65,2)</f>
        <v>16640.65</v>
      </c>
      <c r="I362" s="13">
        <f>ROUND(16640.65,2)</f>
        <v>16640.65</v>
      </c>
      <c r="J362" s="13"/>
      <c r="K362" s="13">
        <f>ROUND(16640.65,2)</f>
        <v>16640.65</v>
      </c>
      <c r="L362" s="13"/>
      <c r="M362" s="12">
        <f>ROUND(16640.65,2)</f>
        <v>16640.65</v>
      </c>
      <c r="N362" s="12">
        <f>ROUND(16640.65,2)</f>
        <v>16640.65</v>
      </c>
      <c r="O362" s="12">
        <f aca="true" t="shared" si="199" ref="O362:O363">ROUND(36967.52,2)</f>
        <v>36967.52</v>
      </c>
      <c r="P362" s="14">
        <v>68.95874266926104</v>
      </c>
      <c r="Q362" s="14">
        <v>31.041257330738958</v>
      </c>
    </row>
    <row r="363" spans="1:17" ht="12.75" customHeight="1">
      <c r="A363" s="15" t="s">
        <v>262</v>
      </c>
      <c r="B363" s="15"/>
      <c r="C363" s="15"/>
      <c r="D363" s="15"/>
      <c r="E363" s="16" t="s">
        <v>41</v>
      </c>
      <c r="F363" s="17">
        <f>ROUND(0,2)</f>
        <v>0</v>
      </c>
      <c r="G363" s="17">
        <f>ROUND(0,2)</f>
        <v>0</v>
      </c>
      <c r="H363" s="17">
        <f>ROUND(0,2)</f>
        <v>0</v>
      </c>
      <c r="I363" s="17">
        <f>ROUND(0,2)</f>
        <v>0</v>
      </c>
      <c r="J363" s="17"/>
      <c r="K363" s="17">
        <f>ROUND(0,2)</f>
        <v>0</v>
      </c>
      <c r="L363" s="17"/>
      <c r="M363" s="17">
        <f>ROUND(0,2)</f>
        <v>0</v>
      </c>
      <c r="N363" s="17">
        <f>ROUND(0,2)</f>
        <v>0</v>
      </c>
      <c r="O363" s="17">
        <f t="shared" si="199"/>
        <v>36967.52</v>
      </c>
      <c r="P363" s="18">
        <v>31.041257330738958</v>
      </c>
      <c r="Q363" s="18">
        <v>100</v>
      </c>
    </row>
    <row r="364" spans="1:17" ht="12.75" customHeight="1">
      <c r="A364" s="19" t="s">
        <v>60</v>
      </c>
      <c r="B364" s="19"/>
      <c r="C364" s="19"/>
      <c r="D364" s="19"/>
      <c r="E364" s="20">
        <f>SUM('DS1'!$A$90)</f>
        <v>53130</v>
      </c>
      <c r="F364" s="20">
        <v>478.17</v>
      </c>
      <c r="G364" s="20">
        <v>53608.17</v>
      </c>
      <c r="H364" s="20">
        <v>16640.65</v>
      </c>
      <c r="I364" s="21">
        <v>16640.65</v>
      </c>
      <c r="J364" s="21"/>
      <c r="K364" s="21">
        <v>16640.65</v>
      </c>
      <c r="L364" s="21"/>
      <c r="M364" s="20">
        <v>16640.65</v>
      </c>
      <c r="N364" s="20">
        <v>16640.65</v>
      </c>
      <c r="O364" s="20">
        <v>36967.52</v>
      </c>
      <c r="P364" s="22">
        <v>68.95874266926104</v>
      </c>
      <c r="Q364" s="22">
        <v>31.041257330738958</v>
      </c>
    </row>
    <row r="365" spans="1:17" ht="12.75" customHeight="1">
      <c r="A365" s="23"/>
      <c r="B365" s="24"/>
      <c r="C365" s="24"/>
      <c r="D365" s="24"/>
      <c r="E365" s="23"/>
      <c r="F365" s="20">
        <v>0</v>
      </c>
      <c r="G365" s="20">
        <v>0</v>
      </c>
      <c r="H365" s="20">
        <v>0</v>
      </c>
      <c r="I365" s="21">
        <v>0</v>
      </c>
      <c r="J365" s="21"/>
      <c r="K365" s="21">
        <v>0</v>
      </c>
      <c r="L365" s="21"/>
      <c r="M365" s="20">
        <v>0</v>
      </c>
      <c r="N365" s="20">
        <v>0</v>
      </c>
      <c r="O365" s="20">
        <v>36967.52</v>
      </c>
      <c r="P365" s="22">
        <v>31.041257330738958</v>
      </c>
      <c r="Q365" s="22">
        <v>100</v>
      </c>
    </row>
    <row r="366" spans="1:17" ht="20.25" customHeight="1">
      <c r="A366" s="23"/>
      <c r="B366" s="24"/>
      <c r="C366" s="24"/>
      <c r="D366" s="24"/>
      <c r="E366" s="23"/>
      <c r="F366" s="23"/>
      <c r="G366" s="23"/>
      <c r="H366" s="23"/>
      <c r="I366" s="24"/>
      <c r="J366" s="24"/>
      <c r="K366" s="24"/>
      <c r="L366" s="24"/>
      <c r="M366" s="23"/>
      <c r="N366" s="23"/>
      <c r="O366" s="23"/>
      <c r="P366" s="23"/>
      <c r="Q366" s="23"/>
    </row>
    <row r="367" spans="1:17" ht="12.75" customHeight="1">
      <c r="A367" s="10"/>
      <c r="B367" s="11" t="s">
        <v>263</v>
      </c>
      <c r="C367" s="11"/>
      <c r="D367" s="11"/>
      <c r="E367" s="12">
        <f>ROUND(0,2)</f>
        <v>0</v>
      </c>
      <c r="F367" s="12">
        <f>ROUND(22194.67,2)</f>
        <v>22194.67</v>
      </c>
      <c r="G367" s="12">
        <f>ROUND(22194.67,2)</f>
        <v>22194.67</v>
      </c>
      <c r="H367" s="12">
        <f>ROUND(19443.07,2)</f>
        <v>19443.07</v>
      </c>
      <c r="I367" s="13">
        <f>ROUND(19443.07,2)</f>
        <v>19443.07</v>
      </c>
      <c r="J367" s="13"/>
      <c r="K367" s="13">
        <f>ROUND(19443.07,2)</f>
        <v>19443.07</v>
      </c>
      <c r="L367" s="13"/>
      <c r="M367" s="12">
        <f>ROUND(19443.07,2)</f>
        <v>19443.07</v>
      </c>
      <c r="N367" s="12">
        <f>ROUND(19443.07,2)</f>
        <v>19443.07</v>
      </c>
      <c r="O367" s="12">
        <f>ROUND(2751.6,2)</f>
        <v>2751.6</v>
      </c>
      <c r="P367" s="14">
        <v>12.39757112856375</v>
      </c>
      <c r="Q367" s="14">
        <v>87.60242887143626</v>
      </c>
    </row>
    <row r="368" spans="1:17" ht="12.75" customHeight="1">
      <c r="A368" s="15" t="s">
        <v>262</v>
      </c>
      <c r="B368" s="15"/>
      <c r="C368" s="15"/>
      <c r="D368" s="15"/>
      <c r="E368" s="16" t="s">
        <v>41</v>
      </c>
      <c r="F368" s="17">
        <f>ROUND(0,2)</f>
        <v>0</v>
      </c>
      <c r="G368" s="17">
        <f>ROUND(0,2)</f>
        <v>0</v>
      </c>
      <c r="H368" s="17">
        <f>ROUND(0,2)</f>
        <v>0</v>
      </c>
      <c r="I368" s="17">
        <f>ROUND(0,2)</f>
        <v>0</v>
      </c>
      <c r="J368" s="17"/>
      <c r="K368" s="17">
        <f>ROUND(0,2)</f>
        <v>0</v>
      </c>
      <c r="L368" s="17"/>
      <c r="M368" s="17">
        <f>ROUND(0,2)</f>
        <v>0</v>
      </c>
      <c r="N368" s="17">
        <f>ROUND(0,2)</f>
        <v>0</v>
      </c>
      <c r="O368" s="17">
        <f>ROUND(2751.6,2)</f>
        <v>2751.6</v>
      </c>
      <c r="P368" s="18">
        <v>87.60242887143626</v>
      </c>
      <c r="Q368" s="18">
        <v>100</v>
      </c>
    </row>
    <row r="369" spans="1:17" ht="12.75" customHeight="1">
      <c r="A369" s="19" t="s">
        <v>264</v>
      </c>
      <c r="B369" s="19"/>
      <c r="C369" s="19"/>
      <c r="D369" s="19"/>
      <c r="E369" s="20">
        <f>SUM('DS1'!$A$91)</f>
        <v>0</v>
      </c>
      <c r="F369" s="20">
        <v>22194.67</v>
      </c>
      <c r="G369" s="20">
        <v>22194.67</v>
      </c>
      <c r="H369" s="20">
        <v>19443.07</v>
      </c>
      <c r="I369" s="21">
        <v>19443.07</v>
      </c>
      <c r="J369" s="21"/>
      <c r="K369" s="21">
        <v>19443.07</v>
      </c>
      <c r="L369" s="21"/>
      <c r="M369" s="20">
        <v>19443.07</v>
      </c>
      <c r="N369" s="20">
        <v>19443.07</v>
      </c>
      <c r="O369" s="20">
        <v>2751.6</v>
      </c>
      <c r="P369" s="22">
        <v>12.39757112856375</v>
      </c>
      <c r="Q369" s="22">
        <v>87.60242887143626</v>
      </c>
    </row>
    <row r="370" spans="1:17" ht="12.75" customHeight="1">
      <c r="A370" s="23"/>
      <c r="B370" s="24"/>
      <c r="C370" s="24"/>
      <c r="D370" s="24"/>
      <c r="E370" s="23"/>
      <c r="F370" s="20">
        <v>0</v>
      </c>
      <c r="G370" s="20">
        <v>0</v>
      </c>
      <c r="H370" s="20">
        <v>0</v>
      </c>
      <c r="I370" s="21">
        <v>0</v>
      </c>
      <c r="J370" s="21"/>
      <c r="K370" s="21">
        <v>0</v>
      </c>
      <c r="L370" s="21"/>
      <c r="M370" s="20">
        <v>0</v>
      </c>
      <c r="N370" s="20">
        <v>0</v>
      </c>
      <c r="O370" s="20">
        <v>2751.5999999999985</v>
      </c>
      <c r="P370" s="22">
        <v>87.60242887143626</v>
      </c>
      <c r="Q370" s="22">
        <v>100</v>
      </c>
    </row>
    <row r="371" spans="1:17" ht="20.25" customHeight="1">
      <c r="A371" s="23"/>
      <c r="B371" s="24"/>
      <c r="C371" s="24"/>
      <c r="D371" s="24"/>
      <c r="E371" s="23"/>
      <c r="F371" s="23"/>
      <c r="G371" s="23"/>
      <c r="H371" s="23"/>
      <c r="I371" s="24"/>
      <c r="J371" s="24"/>
      <c r="K371" s="24"/>
      <c r="L371" s="24"/>
      <c r="M371" s="23"/>
      <c r="N371" s="23"/>
      <c r="O371" s="23"/>
      <c r="P371" s="23"/>
      <c r="Q371" s="23"/>
    </row>
    <row r="372" spans="1:17" ht="12.75" customHeight="1">
      <c r="A372" s="10"/>
      <c r="B372" s="11" t="s">
        <v>265</v>
      </c>
      <c r="C372" s="11"/>
      <c r="D372" s="11"/>
      <c r="E372" s="12">
        <f>ROUND(0,2)</f>
        <v>0</v>
      </c>
      <c r="F372" s="12">
        <f aca="true" t="shared" si="200" ref="F372:F373">ROUND(0,2)</f>
        <v>0</v>
      </c>
      <c r="G372" s="12">
        <f aca="true" t="shared" si="201" ref="G372:G373">ROUND(0,2)</f>
        <v>0</v>
      </c>
      <c r="H372" s="12">
        <f>ROUND(5473.78,2)</f>
        <v>5473.78</v>
      </c>
      <c r="I372" s="13">
        <f>ROUND(5473.78,2)</f>
        <v>5473.78</v>
      </c>
      <c r="J372" s="13"/>
      <c r="K372" s="13">
        <f>ROUND(5473.78,2)</f>
        <v>5473.78</v>
      </c>
      <c r="L372" s="13"/>
      <c r="M372" s="12">
        <f>ROUND(5473.78,2)</f>
        <v>5473.78</v>
      </c>
      <c r="N372" s="12">
        <f>ROUND(5473.78,2)</f>
        <v>5473.78</v>
      </c>
      <c r="O372" s="12">
        <f aca="true" t="shared" si="202" ref="O372:O373">ROUND(-5473.78,2)</f>
        <v>-5473.78</v>
      </c>
      <c r="P372" s="14">
        <v>0</v>
      </c>
      <c r="Q372" s="14">
        <v>0</v>
      </c>
    </row>
    <row r="373" spans="1:17" ht="12.75" customHeight="1">
      <c r="A373" s="15" t="s">
        <v>266</v>
      </c>
      <c r="B373" s="15"/>
      <c r="C373" s="15"/>
      <c r="D373" s="15"/>
      <c r="E373" s="16" t="s">
        <v>41</v>
      </c>
      <c r="F373" s="17">
        <f t="shared" si="200"/>
        <v>0</v>
      </c>
      <c r="G373" s="17">
        <f t="shared" si="201"/>
        <v>0</v>
      </c>
      <c r="H373" s="17">
        <f>ROUND(0,2)</f>
        <v>0</v>
      </c>
      <c r="I373" s="17">
        <f>ROUND(0,2)</f>
        <v>0</v>
      </c>
      <c r="J373" s="17"/>
      <c r="K373" s="17">
        <f>ROUND(0,2)</f>
        <v>0</v>
      </c>
      <c r="L373" s="17"/>
      <c r="M373" s="17">
        <f>ROUND(0,2)</f>
        <v>0</v>
      </c>
      <c r="N373" s="17">
        <f>ROUND(0,2)</f>
        <v>0</v>
      </c>
      <c r="O373" s="17">
        <f t="shared" si="202"/>
        <v>-5473.78</v>
      </c>
      <c r="P373" s="18">
        <v>0</v>
      </c>
      <c r="Q373" s="18">
        <v>100</v>
      </c>
    </row>
    <row r="374" spans="1:17" ht="12.75" customHeight="1">
      <c r="A374" s="10"/>
      <c r="B374" s="11" t="s">
        <v>267</v>
      </c>
      <c r="C374" s="11"/>
      <c r="D374" s="11"/>
      <c r="E374" s="12">
        <f>ROUND(17532.9,2)</f>
        <v>17532.9</v>
      </c>
      <c r="F374" s="12">
        <f>ROUND(157.8,2)</f>
        <v>157.8</v>
      </c>
      <c r="G374" s="12">
        <f>ROUND(17690.7,2)</f>
        <v>17690.7</v>
      </c>
      <c r="H374" s="12">
        <f>ROUND(10549.55,2)</f>
        <v>10549.55</v>
      </c>
      <c r="I374" s="13">
        <f>ROUND(10549.55,2)</f>
        <v>10549.55</v>
      </c>
      <c r="J374" s="13"/>
      <c r="K374" s="13">
        <f>ROUND(10549.55,2)</f>
        <v>10549.55</v>
      </c>
      <c r="L374" s="13"/>
      <c r="M374" s="12">
        <f>ROUND(10549.55,2)</f>
        <v>10549.55</v>
      </c>
      <c r="N374" s="12">
        <f>ROUND(10549.55,2)</f>
        <v>10549.55</v>
      </c>
      <c r="O374" s="12">
        <f>ROUND(7141.15,2)</f>
        <v>7141.15</v>
      </c>
      <c r="P374" s="14">
        <v>40.3666898426857</v>
      </c>
      <c r="Q374" s="14">
        <v>59.63331015731429</v>
      </c>
    </row>
    <row r="375" spans="1:17" ht="12.75" customHeight="1">
      <c r="A375" s="15" t="s">
        <v>266</v>
      </c>
      <c r="B375" s="15"/>
      <c r="C375" s="15"/>
      <c r="D375" s="15"/>
      <c r="E375" s="16" t="s">
        <v>41</v>
      </c>
      <c r="F375" s="17">
        <f>ROUND(0,2)</f>
        <v>0</v>
      </c>
      <c r="G375" s="17">
        <f>ROUND(0,2)</f>
        <v>0</v>
      </c>
      <c r="H375" s="17">
        <f>ROUND(0,2)</f>
        <v>0</v>
      </c>
      <c r="I375" s="17">
        <f>ROUND(0,2)</f>
        <v>0</v>
      </c>
      <c r="J375" s="17"/>
      <c r="K375" s="17">
        <f>ROUND(0,2)</f>
        <v>0</v>
      </c>
      <c r="L375" s="17"/>
      <c r="M375" s="17">
        <f>ROUND(0,2)</f>
        <v>0</v>
      </c>
      <c r="N375" s="17">
        <f>ROUND(335.72,2)</f>
        <v>335.72</v>
      </c>
      <c r="O375" s="17">
        <f>ROUND(7141.15,2)</f>
        <v>7141.15</v>
      </c>
      <c r="P375" s="18">
        <v>59.63331015731429</v>
      </c>
      <c r="Q375" s="18">
        <v>100</v>
      </c>
    </row>
    <row r="376" spans="1:17" ht="12.75" customHeight="1">
      <c r="A376" s="19" t="s">
        <v>68</v>
      </c>
      <c r="B376" s="19"/>
      <c r="C376" s="19"/>
      <c r="D376" s="19"/>
      <c r="E376" s="20">
        <f>SUM('DS1'!$A$92:$A$93)</f>
        <v>17532.9</v>
      </c>
      <c r="F376" s="20">
        <v>157.8</v>
      </c>
      <c r="G376" s="20">
        <v>17690.7</v>
      </c>
      <c r="H376" s="20">
        <v>16023.33</v>
      </c>
      <c r="I376" s="21">
        <v>16023.33</v>
      </c>
      <c r="J376" s="21"/>
      <c r="K376" s="21">
        <v>16023.33</v>
      </c>
      <c r="L376" s="21"/>
      <c r="M376" s="20">
        <v>16023.33</v>
      </c>
      <c r="N376" s="20">
        <v>16023.33</v>
      </c>
      <c r="O376" s="20">
        <v>1667.37</v>
      </c>
      <c r="P376" s="22">
        <v>9.42512167409995</v>
      </c>
      <c r="Q376" s="22">
        <v>90.57487832590004</v>
      </c>
    </row>
    <row r="377" spans="1:17" ht="12.75" customHeight="1">
      <c r="A377" s="23"/>
      <c r="B377" s="24"/>
      <c r="C377" s="24"/>
      <c r="D377" s="24"/>
      <c r="E377" s="23"/>
      <c r="F377" s="20">
        <v>0</v>
      </c>
      <c r="G377" s="20">
        <v>0</v>
      </c>
      <c r="H377" s="20">
        <v>0</v>
      </c>
      <c r="I377" s="21">
        <v>0</v>
      </c>
      <c r="J377" s="21"/>
      <c r="K377" s="21">
        <v>0</v>
      </c>
      <c r="L377" s="21"/>
      <c r="M377" s="20">
        <v>0</v>
      </c>
      <c r="N377" s="20">
        <v>335.72</v>
      </c>
      <c r="O377" s="20">
        <v>1667.3700000000017</v>
      </c>
      <c r="P377" s="22">
        <v>90.57487832590004</v>
      </c>
      <c r="Q377" s="22">
        <v>100</v>
      </c>
    </row>
    <row r="378" spans="1:17" ht="20.25" customHeight="1">
      <c r="A378" s="23"/>
      <c r="B378" s="24"/>
      <c r="C378" s="24"/>
      <c r="D378" s="24"/>
      <c r="E378" s="23"/>
      <c r="F378" s="23"/>
      <c r="G378" s="23"/>
      <c r="H378" s="23"/>
      <c r="I378" s="24"/>
      <c r="J378" s="24"/>
      <c r="K378" s="24"/>
      <c r="L378" s="24"/>
      <c r="M378" s="23"/>
      <c r="N378" s="23"/>
      <c r="O378" s="23"/>
      <c r="P378" s="23"/>
      <c r="Q378" s="23"/>
    </row>
    <row r="379" spans="1:17" ht="12.75" customHeight="1">
      <c r="A379" s="10"/>
      <c r="B379" s="11" t="s">
        <v>268</v>
      </c>
      <c r="C379" s="11"/>
      <c r="D379" s="11"/>
      <c r="E379" s="12">
        <f>ROUND(1000,2)</f>
        <v>1000</v>
      </c>
      <c r="F379" s="12">
        <f aca="true" t="shared" si="203" ref="F379:F380">ROUND(0,2)</f>
        <v>0</v>
      </c>
      <c r="G379" s="12">
        <f>ROUND(1000,2)</f>
        <v>1000</v>
      </c>
      <c r="H379" s="12">
        <f aca="true" t="shared" si="204" ref="H379:H380">ROUND(0,2)</f>
        <v>0</v>
      </c>
      <c r="I379" s="13">
        <f aca="true" t="shared" si="205" ref="I379:I380">ROUND(0,2)</f>
        <v>0</v>
      </c>
      <c r="J379" s="13"/>
      <c r="K379" s="13">
        <f aca="true" t="shared" si="206" ref="K379:K380">ROUND(0,2)</f>
        <v>0</v>
      </c>
      <c r="L379" s="13"/>
      <c r="M379" s="12">
        <f aca="true" t="shared" si="207" ref="M379:M380">ROUND(0,2)</f>
        <v>0</v>
      </c>
      <c r="N379" s="12">
        <f aca="true" t="shared" si="208" ref="N379:N380">ROUND(0,2)</f>
        <v>0</v>
      </c>
      <c r="O379" s="12">
        <f aca="true" t="shared" si="209" ref="O379:O380">ROUND(1000,2)</f>
        <v>1000</v>
      </c>
      <c r="P379" s="14">
        <v>100</v>
      </c>
      <c r="Q379" s="14">
        <v>0</v>
      </c>
    </row>
    <row r="380" spans="1:17" ht="12.75" customHeight="1">
      <c r="A380" s="15" t="s">
        <v>269</v>
      </c>
      <c r="B380" s="15"/>
      <c r="C380" s="15"/>
      <c r="D380" s="15"/>
      <c r="E380" s="16" t="s">
        <v>270</v>
      </c>
      <c r="F380" s="17">
        <f t="shared" si="203"/>
        <v>0</v>
      </c>
      <c r="G380" s="17">
        <f>ROUND(0,2)</f>
        <v>0</v>
      </c>
      <c r="H380" s="17">
        <f t="shared" si="204"/>
        <v>0</v>
      </c>
      <c r="I380" s="17">
        <f t="shared" si="205"/>
        <v>0</v>
      </c>
      <c r="J380" s="17"/>
      <c r="K380" s="17">
        <f t="shared" si="206"/>
        <v>0</v>
      </c>
      <c r="L380" s="17"/>
      <c r="M380" s="17">
        <f t="shared" si="207"/>
        <v>0</v>
      </c>
      <c r="N380" s="17">
        <f t="shared" si="208"/>
        <v>0</v>
      </c>
      <c r="O380" s="17">
        <f t="shared" si="209"/>
        <v>1000</v>
      </c>
      <c r="P380" s="18">
        <v>0</v>
      </c>
      <c r="Q380" s="18">
        <v>0</v>
      </c>
    </row>
    <row r="381" spans="1:17" ht="12.75" customHeight="1">
      <c r="A381" s="19" t="s">
        <v>271</v>
      </c>
      <c r="B381" s="19"/>
      <c r="C381" s="19"/>
      <c r="D381" s="19"/>
      <c r="E381" s="20">
        <f>SUM('DS1'!$A$94)</f>
        <v>1000</v>
      </c>
      <c r="F381" s="20">
        <v>0</v>
      </c>
      <c r="G381" s="20">
        <v>1000</v>
      </c>
      <c r="H381" s="20">
        <v>0</v>
      </c>
      <c r="I381" s="21">
        <v>0</v>
      </c>
      <c r="J381" s="21"/>
      <c r="K381" s="21">
        <v>0</v>
      </c>
      <c r="L381" s="21"/>
      <c r="M381" s="20">
        <v>0</v>
      </c>
      <c r="N381" s="20">
        <v>0</v>
      </c>
      <c r="O381" s="20">
        <v>1000</v>
      </c>
      <c r="P381" s="22">
        <v>100</v>
      </c>
      <c r="Q381" s="22">
        <v>0</v>
      </c>
    </row>
    <row r="382" spans="1:17" ht="12.75" customHeight="1">
      <c r="A382" s="23"/>
      <c r="B382" s="24"/>
      <c r="C382" s="24"/>
      <c r="D382" s="24"/>
      <c r="E382" s="23"/>
      <c r="F382" s="20">
        <v>0</v>
      </c>
      <c r="G382" s="20">
        <v>0</v>
      </c>
      <c r="H382" s="20">
        <v>0</v>
      </c>
      <c r="I382" s="21">
        <v>0</v>
      </c>
      <c r="J382" s="21"/>
      <c r="K382" s="21">
        <v>0</v>
      </c>
      <c r="L382" s="21"/>
      <c r="M382" s="20">
        <v>0</v>
      </c>
      <c r="N382" s="20">
        <v>0</v>
      </c>
      <c r="O382" s="20">
        <v>1000</v>
      </c>
      <c r="P382" s="22">
        <v>0</v>
      </c>
      <c r="Q382" s="22">
        <v>0</v>
      </c>
    </row>
    <row r="383" spans="1:17" ht="20.25" customHeight="1">
      <c r="A383" s="23"/>
      <c r="B383" s="24"/>
      <c r="C383" s="24"/>
      <c r="D383" s="24"/>
      <c r="E383" s="23"/>
      <c r="F383" s="23"/>
      <c r="G383" s="23"/>
      <c r="H383" s="23"/>
      <c r="I383" s="24"/>
      <c r="J383" s="24"/>
      <c r="K383" s="24"/>
      <c r="L383" s="24"/>
      <c r="M383" s="23"/>
      <c r="N383" s="23"/>
      <c r="O383" s="23"/>
      <c r="P383" s="23"/>
      <c r="Q383" s="23"/>
    </row>
    <row r="384" spans="1:17" ht="12.75" customHeight="1">
      <c r="A384" s="10"/>
      <c r="B384" s="11" t="s">
        <v>272</v>
      </c>
      <c r="C384" s="11"/>
      <c r="D384" s="11"/>
      <c r="E384" s="12">
        <f>ROUND(4500,2)</f>
        <v>4500</v>
      </c>
      <c r="F384" s="12">
        <f aca="true" t="shared" si="210" ref="F384:F385">ROUND(0,2)</f>
        <v>0</v>
      </c>
      <c r="G384" s="12">
        <f>ROUND(4500,2)</f>
        <v>4500</v>
      </c>
      <c r="H384" s="12">
        <f>ROUND(747.34,2)</f>
        <v>747.34</v>
      </c>
      <c r="I384" s="13">
        <f>ROUND(747.34,2)</f>
        <v>747.34</v>
      </c>
      <c r="J384" s="13"/>
      <c r="K384" s="13">
        <f>ROUND(747.34,2)</f>
        <v>747.34</v>
      </c>
      <c r="L384" s="13"/>
      <c r="M384" s="12">
        <f>ROUND(747.34,2)</f>
        <v>747.34</v>
      </c>
      <c r="N384" s="12">
        <f>ROUND(720.74,2)</f>
        <v>720.74</v>
      </c>
      <c r="O384" s="12">
        <f aca="true" t="shared" si="211" ref="O384:O385">ROUND(3752.66,2)</f>
        <v>3752.66</v>
      </c>
      <c r="P384" s="14">
        <v>83.39244444444444</v>
      </c>
      <c r="Q384" s="14">
        <v>16.607555555555557</v>
      </c>
    </row>
    <row r="385" spans="1:17" ht="12.75" customHeight="1">
      <c r="A385" s="15" t="s">
        <v>273</v>
      </c>
      <c r="B385" s="15"/>
      <c r="C385" s="15"/>
      <c r="D385" s="15"/>
      <c r="E385" s="16" t="s">
        <v>274</v>
      </c>
      <c r="F385" s="17">
        <f t="shared" si="210"/>
        <v>0</v>
      </c>
      <c r="G385" s="17">
        <f>ROUND(0,2)</f>
        <v>0</v>
      </c>
      <c r="H385" s="17">
        <f>ROUND(0,2)</f>
        <v>0</v>
      </c>
      <c r="I385" s="17">
        <f>ROUND(0,2)</f>
        <v>0</v>
      </c>
      <c r="J385" s="17"/>
      <c r="K385" s="17">
        <f>ROUND(0,2)</f>
        <v>0</v>
      </c>
      <c r="L385" s="17"/>
      <c r="M385" s="17">
        <f>ROUND(26.6,2)</f>
        <v>26.6</v>
      </c>
      <c r="N385" s="17">
        <f>ROUND(0,2)</f>
        <v>0</v>
      </c>
      <c r="O385" s="17">
        <f t="shared" si="211"/>
        <v>3752.66</v>
      </c>
      <c r="P385" s="18">
        <v>16.607555555555557</v>
      </c>
      <c r="Q385" s="18">
        <v>96.44070971713008</v>
      </c>
    </row>
    <row r="386" spans="1:17" ht="12.75" customHeight="1">
      <c r="A386" s="19" t="s">
        <v>76</v>
      </c>
      <c r="B386" s="19"/>
      <c r="C386" s="19"/>
      <c r="D386" s="19"/>
      <c r="E386" s="20">
        <f>SUM('DS1'!$A$95)</f>
        <v>4500</v>
      </c>
      <c r="F386" s="20">
        <v>0</v>
      </c>
      <c r="G386" s="20">
        <v>4500</v>
      </c>
      <c r="H386" s="20">
        <v>747.34</v>
      </c>
      <c r="I386" s="21">
        <v>747.34</v>
      </c>
      <c r="J386" s="21"/>
      <c r="K386" s="21">
        <v>747.34</v>
      </c>
      <c r="L386" s="21"/>
      <c r="M386" s="20">
        <v>747.34</v>
      </c>
      <c r="N386" s="20">
        <v>720.74</v>
      </c>
      <c r="O386" s="20">
        <v>3752.66</v>
      </c>
      <c r="P386" s="22">
        <v>83.39244444444444</v>
      </c>
      <c r="Q386" s="22">
        <v>16.607555555555557</v>
      </c>
    </row>
    <row r="387" spans="1:17" ht="12.75" customHeight="1">
      <c r="A387" s="23"/>
      <c r="B387" s="24"/>
      <c r="C387" s="24"/>
      <c r="D387" s="24"/>
      <c r="E387" s="23"/>
      <c r="F387" s="20">
        <v>0</v>
      </c>
      <c r="G387" s="20">
        <v>0</v>
      </c>
      <c r="H387" s="20">
        <v>0</v>
      </c>
      <c r="I387" s="21">
        <v>0</v>
      </c>
      <c r="J387" s="21"/>
      <c r="K387" s="21">
        <v>0</v>
      </c>
      <c r="L387" s="21"/>
      <c r="M387" s="20">
        <v>26.600000000000023</v>
      </c>
      <c r="N387" s="20">
        <v>0</v>
      </c>
      <c r="O387" s="20">
        <v>3752.66</v>
      </c>
      <c r="P387" s="22">
        <v>16.607555555555557</v>
      </c>
      <c r="Q387" s="22">
        <v>96.44070971713008</v>
      </c>
    </row>
    <row r="388" spans="1:17" ht="20.25" customHeight="1">
      <c r="A388" s="23"/>
      <c r="B388" s="24"/>
      <c r="C388" s="24"/>
      <c r="D388" s="24"/>
      <c r="E388" s="23"/>
      <c r="F388" s="23"/>
      <c r="G388" s="23"/>
      <c r="H388" s="23"/>
      <c r="I388" s="24"/>
      <c r="J388" s="24"/>
      <c r="K388" s="24"/>
      <c r="L388" s="24"/>
      <c r="M388" s="23"/>
      <c r="N388" s="23"/>
      <c r="O388" s="23"/>
      <c r="P388" s="23"/>
      <c r="Q388" s="23"/>
    </row>
    <row r="389" spans="1:17" ht="12.75" customHeight="1">
      <c r="A389" s="10"/>
      <c r="B389" s="11" t="s">
        <v>275</v>
      </c>
      <c r="C389" s="11"/>
      <c r="D389" s="11"/>
      <c r="E389" s="12">
        <f>ROUND(6000,2)</f>
        <v>6000</v>
      </c>
      <c r="F389" s="12">
        <f aca="true" t="shared" si="212" ref="F389:F394">ROUND(0,2)</f>
        <v>0</v>
      </c>
      <c r="G389" s="12">
        <f>ROUND(6000,2)</f>
        <v>6000</v>
      </c>
      <c r="H389" s="12">
        <f aca="true" t="shared" si="213" ref="H389:H390">ROUND(0,2)</f>
        <v>0</v>
      </c>
      <c r="I389" s="13">
        <f aca="true" t="shared" si="214" ref="I389:I390">ROUND(0,2)</f>
        <v>0</v>
      </c>
      <c r="J389" s="13"/>
      <c r="K389" s="13">
        <f aca="true" t="shared" si="215" ref="K389:K390">ROUND(0,2)</f>
        <v>0</v>
      </c>
      <c r="L389" s="13"/>
      <c r="M389" s="12">
        <f aca="true" t="shared" si="216" ref="M389:M390">ROUND(0,2)</f>
        <v>0</v>
      </c>
      <c r="N389" s="12">
        <f aca="true" t="shared" si="217" ref="N389:N390">ROUND(0,2)</f>
        <v>0</v>
      </c>
      <c r="O389" s="12">
        <f aca="true" t="shared" si="218" ref="O389:O390">ROUND(6000,2)</f>
        <v>6000</v>
      </c>
      <c r="P389" s="14">
        <v>100</v>
      </c>
      <c r="Q389" s="14">
        <v>0</v>
      </c>
    </row>
    <row r="390" spans="1:17" ht="12.75" customHeight="1">
      <c r="A390" s="15" t="s">
        <v>276</v>
      </c>
      <c r="B390" s="15"/>
      <c r="C390" s="15"/>
      <c r="D390" s="15"/>
      <c r="E390" s="16" t="s">
        <v>232</v>
      </c>
      <c r="F390" s="17">
        <f t="shared" si="212"/>
        <v>0</v>
      </c>
      <c r="G390" s="17">
        <f>ROUND(0,2)</f>
        <v>0</v>
      </c>
      <c r="H390" s="17">
        <f t="shared" si="213"/>
        <v>0</v>
      </c>
      <c r="I390" s="17">
        <f t="shared" si="214"/>
        <v>0</v>
      </c>
      <c r="J390" s="17"/>
      <c r="K390" s="17">
        <f t="shared" si="215"/>
        <v>0</v>
      </c>
      <c r="L390" s="17"/>
      <c r="M390" s="17">
        <f t="shared" si="216"/>
        <v>0</v>
      </c>
      <c r="N390" s="17">
        <f t="shared" si="217"/>
        <v>0</v>
      </c>
      <c r="O390" s="17">
        <f t="shared" si="218"/>
        <v>6000</v>
      </c>
      <c r="P390" s="18">
        <v>0</v>
      </c>
      <c r="Q390" s="18">
        <v>0</v>
      </c>
    </row>
    <row r="391" spans="1:17" ht="12.75" customHeight="1">
      <c r="A391" s="10"/>
      <c r="B391" s="11" t="s">
        <v>277</v>
      </c>
      <c r="C391" s="11"/>
      <c r="D391" s="11"/>
      <c r="E391" s="12">
        <f>ROUND(5500,2)</f>
        <v>5500</v>
      </c>
      <c r="F391" s="12">
        <f t="shared" si="212"/>
        <v>0</v>
      </c>
      <c r="G391" s="12">
        <f>ROUND(5500,2)</f>
        <v>5500</v>
      </c>
      <c r="H391" s="12">
        <f>ROUND(3423,2)</f>
        <v>3423</v>
      </c>
      <c r="I391" s="13">
        <f>ROUND(3423,2)</f>
        <v>3423</v>
      </c>
      <c r="J391" s="13"/>
      <c r="K391" s="13">
        <f>ROUND(3423,2)</f>
        <v>3423</v>
      </c>
      <c r="L391" s="13"/>
      <c r="M391" s="12">
        <f>ROUND(3423,2)</f>
        <v>3423</v>
      </c>
      <c r="N391" s="12">
        <f>ROUND(2696.82,2)</f>
        <v>2696.82</v>
      </c>
      <c r="O391" s="12">
        <f aca="true" t="shared" si="219" ref="O391:O392">ROUND(2077,2)</f>
        <v>2077</v>
      </c>
      <c r="P391" s="14">
        <v>37.763636363636365</v>
      </c>
      <c r="Q391" s="14">
        <v>62.236363636363635</v>
      </c>
    </row>
    <row r="392" spans="1:17" ht="12.75" customHeight="1">
      <c r="A392" s="15" t="s">
        <v>278</v>
      </c>
      <c r="B392" s="15"/>
      <c r="C392" s="15"/>
      <c r="D392" s="15"/>
      <c r="E392" s="16" t="s">
        <v>232</v>
      </c>
      <c r="F392" s="17">
        <f t="shared" si="212"/>
        <v>0</v>
      </c>
      <c r="G392" s="17">
        <f>ROUND(0,2)</f>
        <v>0</v>
      </c>
      <c r="H392" s="17">
        <f aca="true" t="shared" si="220" ref="H392:H394">ROUND(0,2)</f>
        <v>0</v>
      </c>
      <c r="I392" s="17">
        <f aca="true" t="shared" si="221" ref="I392:I394">ROUND(0,2)</f>
        <v>0</v>
      </c>
      <c r="J392" s="17"/>
      <c r="K392" s="17">
        <f aca="true" t="shared" si="222" ref="K392:K394">ROUND(0,2)</f>
        <v>0</v>
      </c>
      <c r="L392" s="17"/>
      <c r="M392" s="17">
        <f>ROUND(726.18,2)</f>
        <v>726.18</v>
      </c>
      <c r="N392" s="17">
        <f aca="true" t="shared" si="223" ref="N392:N394">ROUND(0,2)</f>
        <v>0</v>
      </c>
      <c r="O392" s="17">
        <f t="shared" si="219"/>
        <v>2077</v>
      </c>
      <c r="P392" s="18">
        <v>62.236363636363635</v>
      </c>
      <c r="Q392" s="18">
        <v>78.78527607361964</v>
      </c>
    </row>
    <row r="393" spans="1:17" ht="12.75" customHeight="1">
      <c r="A393" s="10"/>
      <c r="B393" s="11" t="s">
        <v>279</v>
      </c>
      <c r="C393" s="11"/>
      <c r="D393" s="11"/>
      <c r="E393" s="12">
        <f>ROUND(1000,2)</f>
        <v>1000</v>
      </c>
      <c r="F393" s="12">
        <f t="shared" si="212"/>
        <v>0</v>
      </c>
      <c r="G393" s="12">
        <f>ROUND(1000,2)</f>
        <v>1000</v>
      </c>
      <c r="H393" s="12">
        <f t="shared" si="220"/>
        <v>0</v>
      </c>
      <c r="I393" s="13">
        <f t="shared" si="221"/>
        <v>0</v>
      </c>
      <c r="J393" s="13"/>
      <c r="K393" s="13">
        <f t="shared" si="222"/>
        <v>0</v>
      </c>
      <c r="L393" s="13"/>
      <c r="M393" s="12">
        <f aca="true" t="shared" si="224" ref="M393:M394">ROUND(0,2)</f>
        <v>0</v>
      </c>
      <c r="N393" s="12">
        <f t="shared" si="223"/>
        <v>0</v>
      </c>
      <c r="O393" s="12">
        <f aca="true" t="shared" si="225" ref="O393:O394">ROUND(1000,2)</f>
        <v>1000</v>
      </c>
      <c r="P393" s="14">
        <v>100</v>
      </c>
      <c r="Q393" s="14">
        <v>0</v>
      </c>
    </row>
    <row r="394" spans="1:17" ht="12.75" customHeight="1">
      <c r="A394" s="15" t="s">
        <v>280</v>
      </c>
      <c r="B394" s="15"/>
      <c r="C394" s="15"/>
      <c r="D394" s="15"/>
      <c r="E394" s="16" t="s">
        <v>232</v>
      </c>
      <c r="F394" s="17">
        <f t="shared" si="212"/>
        <v>0</v>
      </c>
      <c r="G394" s="17">
        <f>ROUND(0,2)</f>
        <v>0</v>
      </c>
      <c r="H394" s="17">
        <f t="shared" si="220"/>
        <v>0</v>
      </c>
      <c r="I394" s="17">
        <f t="shared" si="221"/>
        <v>0</v>
      </c>
      <c r="J394" s="17"/>
      <c r="K394" s="17">
        <f t="shared" si="222"/>
        <v>0</v>
      </c>
      <c r="L394" s="17"/>
      <c r="M394" s="17">
        <f t="shared" si="224"/>
        <v>0</v>
      </c>
      <c r="N394" s="17">
        <f t="shared" si="223"/>
        <v>0</v>
      </c>
      <c r="O394" s="17">
        <f t="shared" si="225"/>
        <v>1000</v>
      </c>
      <c r="P394" s="18">
        <v>0</v>
      </c>
      <c r="Q394" s="18">
        <v>0</v>
      </c>
    </row>
    <row r="395" spans="1:17" ht="12.75" customHeight="1">
      <c r="A395" s="19" t="s">
        <v>92</v>
      </c>
      <c r="B395" s="19"/>
      <c r="C395" s="19"/>
      <c r="D395" s="19"/>
      <c r="E395" s="20">
        <f>SUM('DS1'!$A$96:$A$98)</f>
        <v>12500</v>
      </c>
      <c r="F395" s="20">
        <v>0</v>
      </c>
      <c r="G395" s="20">
        <v>12500</v>
      </c>
      <c r="H395" s="20">
        <v>3423</v>
      </c>
      <c r="I395" s="21">
        <v>3423</v>
      </c>
      <c r="J395" s="21"/>
      <c r="K395" s="21">
        <v>3423</v>
      </c>
      <c r="L395" s="21"/>
      <c r="M395" s="20">
        <v>3423</v>
      </c>
      <c r="N395" s="20">
        <v>2696.82</v>
      </c>
      <c r="O395" s="20">
        <v>9077</v>
      </c>
      <c r="P395" s="22">
        <v>72.616</v>
      </c>
      <c r="Q395" s="22">
        <v>27.383999999999997</v>
      </c>
    </row>
    <row r="396" spans="1:17" ht="12.75" customHeight="1">
      <c r="A396" s="23"/>
      <c r="B396" s="24"/>
      <c r="C396" s="24"/>
      <c r="D396" s="24"/>
      <c r="E396" s="23"/>
      <c r="F396" s="20">
        <v>0</v>
      </c>
      <c r="G396" s="20">
        <v>0</v>
      </c>
      <c r="H396" s="20">
        <v>0</v>
      </c>
      <c r="I396" s="21">
        <v>0</v>
      </c>
      <c r="J396" s="21"/>
      <c r="K396" s="21">
        <v>0</v>
      </c>
      <c r="L396" s="21"/>
      <c r="M396" s="20">
        <v>726.1799999999998</v>
      </c>
      <c r="N396" s="20">
        <v>0</v>
      </c>
      <c r="O396" s="20">
        <v>9077</v>
      </c>
      <c r="P396" s="22">
        <v>27.383999999999997</v>
      </c>
      <c r="Q396" s="22">
        <v>78.78527607361964</v>
      </c>
    </row>
    <row r="397" spans="1:17" ht="20.25" customHeight="1">
      <c r="A397" s="23"/>
      <c r="B397" s="24"/>
      <c r="C397" s="24"/>
      <c r="D397" s="24"/>
      <c r="E397" s="23"/>
      <c r="F397" s="23"/>
      <c r="G397" s="23"/>
      <c r="H397" s="23"/>
      <c r="I397" s="24"/>
      <c r="J397" s="24"/>
      <c r="K397" s="24"/>
      <c r="L397" s="24"/>
      <c r="M397" s="23"/>
      <c r="N397" s="23"/>
      <c r="O397" s="23"/>
      <c r="P397" s="23"/>
      <c r="Q397" s="23"/>
    </row>
    <row r="398" spans="1:17" ht="12.75" customHeight="1">
      <c r="A398" s="10"/>
      <c r="B398" s="11" t="s">
        <v>281</v>
      </c>
      <c r="C398" s="11"/>
      <c r="D398" s="11"/>
      <c r="E398" s="12">
        <f>ROUND(71290.34,2)</f>
        <v>71290.34</v>
      </c>
      <c r="F398" s="12">
        <f>ROUND(-10952.18,2)</f>
        <v>-10952.18</v>
      </c>
      <c r="G398" s="12">
        <f>ROUND(60338.16,2)</f>
        <v>60338.16</v>
      </c>
      <c r="H398" s="12">
        <f>ROUND(56114.05,2)</f>
        <v>56114.05</v>
      </c>
      <c r="I398" s="13">
        <f>ROUND(56114.05,2)</f>
        <v>56114.05</v>
      </c>
      <c r="J398" s="13"/>
      <c r="K398" s="13">
        <f>ROUND(22963.17,2)</f>
        <v>22963.17</v>
      </c>
      <c r="L398" s="13"/>
      <c r="M398" s="12">
        <f>ROUND(22963.17,2)</f>
        <v>22963.17</v>
      </c>
      <c r="N398" s="12">
        <f>ROUND(22963.17,2)</f>
        <v>22963.17</v>
      </c>
      <c r="O398" s="12">
        <f>ROUND(0,2)</f>
        <v>0</v>
      </c>
      <c r="P398" s="14">
        <v>0</v>
      </c>
      <c r="Q398" s="14">
        <v>38.057458165777675</v>
      </c>
    </row>
    <row r="399" spans="1:17" ht="12.75" customHeight="1">
      <c r="A399" s="15" t="s">
        <v>282</v>
      </c>
      <c r="B399" s="15"/>
      <c r="C399" s="15"/>
      <c r="D399" s="15"/>
      <c r="E399" s="16" t="s">
        <v>283</v>
      </c>
      <c r="F399" s="17">
        <f>ROUND(0,2)</f>
        <v>0</v>
      </c>
      <c r="G399" s="17">
        <f>ROUND(4224.11,2)</f>
        <v>4224.11</v>
      </c>
      <c r="H399" s="17">
        <f>ROUND(0,2)</f>
        <v>0</v>
      </c>
      <c r="I399" s="17">
        <f>ROUND(33150.88,2)</f>
        <v>33150.88</v>
      </c>
      <c r="J399" s="17"/>
      <c r="K399" s="17">
        <f>ROUND(0,2)</f>
        <v>0</v>
      </c>
      <c r="L399" s="17"/>
      <c r="M399" s="17">
        <f>ROUND(0,2)</f>
        <v>0</v>
      </c>
      <c r="N399" s="17">
        <f>ROUND(0,2)</f>
        <v>0</v>
      </c>
      <c r="O399" s="17">
        <f>ROUND(37374.99,2)</f>
        <v>37374.99</v>
      </c>
      <c r="P399" s="18">
        <v>78.71199660430854</v>
      </c>
      <c r="Q399" s="18">
        <v>100</v>
      </c>
    </row>
    <row r="400" spans="1:17" ht="12.75" customHeight="1">
      <c r="A400" s="10"/>
      <c r="B400" s="11" t="s">
        <v>284</v>
      </c>
      <c r="C400" s="11"/>
      <c r="D400" s="11"/>
      <c r="E400" s="12">
        <f>ROUND(287227.86,2)</f>
        <v>287227.86</v>
      </c>
      <c r="F400" s="12">
        <f>ROUND(-28418.53,2)</f>
        <v>-28418.53</v>
      </c>
      <c r="G400" s="12">
        <f>ROUND(258809.33,2)</f>
        <v>258809.33</v>
      </c>
      <c r="H400" s="12">
        <f>ROUND(235193.24,2)</f>
        <v>235193.24</v>
      </c>
      <c r="I400" s="13">
        <f>ROUND(235193.24,2)</f>
        <v>235193.24</v>
      </c>
      <c r="J400" s="13"/>
      <c r="K400" s="13">
        <f>ROUND(17756.84,2)</f>
        <v>17756.84</v>
      </c>
      <c r="L400" s="13"/>
      <c r="M400" s="12">
        <f>ROUND(17756.84,2)</f>
        <v>17756.84</v>
      </c>
      <c r="N400" s="12">
        <f>ROUND(17756.84,2)</f>
        <v>17756.84</v>
      </c>
      <c r="O400" s="12">
        <f>ROUND(96.09,2)</f>
        <v>96.09</v>
      </c>
      <c r="P400" s="14">
        <v>0.03712771869545816</v>
      </c>
      <c r="Q400" s="14">
        <v>6.860973675098962</v>
      </c>
    </row>
    <row r="401" spans="1:17" ht="12.75" customHeight="1">
      <c r="A401" s="15" t="s">
        <v>285</v>
      </c>
      <c r="B401" s="15"/>
      <c r="C401" s="15"/>
      <c r="D401" s="15"/>
      <c r="E401" s="16" t="s">
        <v>283</v>
      </c>
      <c r="F401" s="17">
        <f>ROUND(0,2)</f>
        <v>0</v>
      </c>
      <c r="G401" s="17">
        <f>ROUND(23520,2)</f>
        <v>23520</v>
      </c>
      <c r="H401" s="17">
        <f>ROUND(0,2)</f>
        <v>0</v>
      </c>
      <c r="I401" s="17">
        <f>ROUND(217436.4,2)</f>
        <v>217436.4</v>
      </c>
      <c r="J401" s="17"/>
      <c r="K401" s="17">
        <f>ROUND(0,2)</f>
        <v>0</v>
      </c>
      <c r="L401" s="17"/>
      <c r="M401" s="17">
        <f>ROUND(0,2)</f>
        <v>0</v>
      </c>
      <c r="N401" s="17">
        <f>ROUND(0,2)</f>
        <v>0</v>
      </c>
      <c r="O401" s="17">
        <f>ROUND(241052.49,2)</f>
        <v>241052.49</v>
      </c>
      <c r="P401" s="18">
        <v>79.04999608939993</v>
      </c>
      <c r="Q401" s="18">
        <v>100</v>
      </c>
    </row>
    <row r="402" spans="1:17" ht="12.75" customHeight="1">
      <c r="A402" s="19" t="s">
        <v>286</v>
      </c>
      <c r="B402" s="19"/>
      <c r="C402" s="19"/>
      <c r="D402" s="19"/>
      <c r="E402" s="20">
        <f>SUM('DS1'!$A$99:$A$100)</f>
        <v>358518.19999999995</v>
      </c>
      <c r="F402" s="20">
        <v>-39370.71</v>
      </c>
      <c r="G402" s="20">
        <v>319147.49</v>
      </c>
      <c r="H402" s="20">
        <v>291307.29</v>
      </c>
      <c r="I402" s="21">
        <v>291307.29</v>
      </c>
      <c r="J402" s="21"/>
      <c r="K402" s="21">
        <v>40720.01</v>
      </c>
      <c r="L402" s="21"/>
      <c r="M402" s="20">
        <v>40720.01</v>
      </c>
      <c r="N402" s="20">
        <v>40720.01</v>
      </c>
      <c r="O402" s="20">
        <v>96.09</v>
      </c>
      <c r="P402" s="22">
        <v>0.030108336430908482</v>
      </c>
      <c r="Q402" s="22">
        <v>12.758994281922757</v>
      </c>
    </row>
    <row r="403" spans="1:17" ht="12.75" customHeight="1">
      <c r="A403" s="23"/>
      <c r="B403" s="24"/>
      <c r="C403" s="24"/>
      <c r="D403" s="24"/>
      <c r="E403" s="23"/>
      <c r="F403" s="20">
        <v>0</v>
      </c>
      <c r="G403" s="20">
        <v>27744.11</v>
      </c>
      <c r="H403" s="20">
        <v>0</v>
      </c>
      <c r="I403" s="21">
        <v>250587.28</v>
      </c>
      <c r="J403" s="21"/>
      <c r="K403" s="21">
        <v>0</v>
      </c>
      <c r="L403" s="21"/>
      <c r="M403" s="20">
        <v>0</v>
      </c>
      <c r="N403" s="20">
        <v>0</v>
      </c>
      <c r="O403" s="20">
        <v>278427.48</v>
      </c>
      <c r="P403" s="22">
        <v>91.27669780514331</v>
      </c>
      <c r="Q403" s="22">
        <v>100</v>
      </c>
    </row>
    <row r="404" spans="1:17" ht="20.25" customHeight="1">
      <c r="A404" s="23"/>
      <c r="B404" s="24"/>
      <c r="C404" s="24"/>
      <c r="D404" s="24"/>
      <c r="E404" s="23"/>
      <c r="F404" s="23"/>
      <c r="G404" s="23"/>
      <c r="H404" s="23"/>
      <c r="I404" s="24"/>
      <c r="J404" s="24"/>
      <c r="K404" s="24"/>
      <c r="L404" s="24"/>
      <c r="M404" s="23"/>
      <c r="N404" s="23"/>
      <c r="O404" s="23"/>
      <c r="P404" s="23"/>
      <c r="Q404" s="23"/>
    </row>
    <row r="405" spans="1:17" ht="12.75" customHeight="1">
      <c r="A405" s="10"/>
      <c r="B405" s="11" t="s">
        <v>287</v>
      </c>
      <c r="C405" s="11"/>
      <c r="D405" s="11"/>
      <c r="E405" s="12">
        <f>ROUND(25000,2)</f>
        <v>25000</v>
      </c>
      <c r="F405" s="12">
        <f aca="true" t="shared" si="226" ref="F405:F406">ROUND(0,2)</f>
        <v>0</v>
      </c>
      <c r="G405" s="12">
        <f>ROUND(25000,2)</f>
        <v>25000</v>
      </c>
      <c r="H405" s="12">
        <f aca="true" t="shared" si="227" ref="H405:H406">ROUND(0,2)</f>
        <v>0</v>
      </c>
      <c r="I405" s="13">
        <f aca="true" t="shared" si="228" ref="I405:I406">ROUND(0,2)</f>
        <v>0</v>
      </c>
      <c r="J405" s="13"/>
      <c r="K405" s="13">
        <f aca="true" t="shared" si="229" ref="K405:K406">ROUND(0,2)</f>
        <v>0</v>
      </c>
      <c r="L405" s="13"/>
      <c r="M405" s="12">
        <f aca="true" t="shared" si="230" ref="M405:M406">ROUND(0,2)</f>
        <v>0</v>
      </c>
      <c r="N405" s="12">
        <f aca="true" t="shared" si="231" ref="N405:N406">ROUND(0,2)</f>
        <v>0</v>
      </c>
      <c r="O405" s="12">
        <f aca="true" t="shared" si="232" ref="O405:O406">ROUND(25000,2)</f>
        <v>25000</v>
      </c>
      <c r="P405" s="14">
        <v>100</v>
      </c>
      <c r="Q405" s="14">
        <v>0</v>
      </c>
    </row>
    <row r="406" spans="1:17" ht="12.75" customHeight="1">
      <c r="A406" s="15" t="s">
        <v>288</v>
      </c>
      <c r="B406" s="15"/>
      <c r="C406" s="15"/>
      <c r="D406" s="15"/>
      <c r="E406" s="16" t="s">
        <v>289</v>
      </c>
      <c r="F406" s="17">
        <f t="shared" si="226"/>
        <v>0</v>
      </c>
      <c r="G406" s="17">
        <f>ROUND(0,2)</f>
        <v>0</v>
      </c>
      <c r="H406" s="17">
        <f t="shared" si="227"/>
        <v>0</v>
      </c>
      <c r="I406" s="17">
        <f t="shared" si="228"/>
        <v>0</v>
      </c>
      <c r="J406" s="17"/>
      <c r="K406" s="17">
        <f t="shared" si="229"/>
        <v>0</v>
      </c>
      <c r="L406" s="17"/>
      <c r="M406" s="17">
        <f t="shared" si="230"/>
        <v>0</v>
      </c>
      <c r="N406" s="17">
        <f t="shared" si="231"/>
        <v>0</v>
      </c>
      <c r="O406" s="17">
        <f t="shared" si="232"/>
        <v>25000</v>
      </c>
      <c r="P406" s="18">
        <v>0</v>
      </c>
      <c r="Q406" s="18">
        <v>0</v>
      </c>
    </row>
    <row r="407" spans="1:17" ht="12.75" customHeight="1">
      <c r="A407" s="19" t="s">
        <v>290</v>
      </c>
      <c r="B407" s="19"/>
      <c r="C407" s="19"/>
      <c r="D407" s="19"/>
      <c r="E407" s="20">
        <f>SUM('DS1'!$A$101)</f>
        <v>25000</v>
      </c>
      <c r="F407" s="20">
        <v>0</v>
      </c>
      <c r="G407" s="20">
        <v>25000</v>
      </c>
      <c r="H407" s="20">
        <v>0</v>
      </c>
      <c r="I407" s="21">
        <v>0</v>
      </c>
      <c r="J407" s="21"/>
      <c r="K407" s="21">
        <v>0</v>
      </c>
      <c r="L407" s="21"/>
      <c r="M407" s="20">
        <v>0</v>
      </c>
      <c r="N407" s="20">
        <v>0</v>
      </c>
      <c r="O407" s="20">
        <v>25000</v>
      </c>
      <c r="P407" s="22">
        <v>100</v>
      </c>
      <c r="Q407" s="22">
        <v>0</v>
      </c>
    </row>
    <row r="408" spans="1:17" ht="12.75" customHeight="1">
      <c r="A408" s="23"/>
      <c r="B408" s="24"/>
      <c r="C408" s="24"/>
      <c r="D408" s="24"/>
      <c r="E408" s="23"/>
      <c r="F408" s="20">
        <v>0</v>
      </c>
      <c r="G408" s="20">
        <v>0</v>
      </c>
      <c r="H408" s="20">
        <v>0</v>
      </c>
      <c r="I408" s="21">
        <v>0</v>
      </c>
      <c r="J408" s="21"/>
      <c r="K408" s="21">
        <v>0</v>
      </c>
      <c r="L408" s="21"/>
      <c r="M408" s="20">
        <v>0</v>
      </c>
      <c r="N408" s="20">
        <v>0</v>
      </c>
      <c r="O408" s="20">
        <v>25000</v>
      </c>
      <c r="P408" s="22">
        <v>0</v>
      </c>
      <c r="Q408" s="22">
        <v>0</v>
      </c>
    </row>
    <row r="409" spans="1:17" ht="20.25" customHeight="1">
      <c r="A409" s="23"/>
      <c r="B409" s="24"/>
      <c r="C409" s="24"/>
      <c r="D409" s="24"/>
      <c r="E409" s="23"/>
      <c r="F409" s="23"/>
      <c r="G409" s="23"/>
      <c r="H409" s="23"/>
      <c r="I409" s="24"/>
      <c r="J409" s="24"/>
      <c r="K409" s="24"/>
      <c r="L409" s="24"/>
      <c r="M409" s="23"/>
      <c r="N409" s="23"/>
      <c r="O409" s="23"/>
      <c r="P409" s="23"/>
      <c r="Q409" s="23"/>
    </row>
    <row r="410" spans="1:17" ht="12.75" customHeight="1">
      <c r="A410" s="19" t="s">
        <v>291</v>
      </c>
      <c r="B410" s="19"/>
      <c r="C410" s="19"/>
      <c r="D410" s="19"/>
      <c r="E410" s="20">
        <f>SUM('DS1'!$A$90:$A$101)</f>
        <v>472181.1</v>
      </c>
      <c r="F410" s="20">
        <v>-16540.070000000003</v>
      </c>
      <c r="G410" s="20">
        <v>455641.03</v>
      </c>
      <c r="H410" s="20">
        <v>347584.68</v>
      </c>
      <c r="I410" s="21">
        <v>347584.68</v>
      </c>
      <c r="J410" s="21"/>
      <c r="K410" s="21">
        <v>96997.4</v>
      </c>
      <c r="L410" s="21"/>
      <c r="M410" s="20">
        <v>96997.4</v>
      </c>
      <c r="N410" s="20">
        <v>96244.62</v>
      </c>
      <c r="O410" s="20">
        <v>80312.24</v>
      </c>
      <c r="P410" s="22">
        <v>17.626208947864068</v>
      </c>
      <c r="Q410" s="22">
        <v>21.28811797304558</v>
      </c>
    </row>
    <row r="411" spans="1:17" ht="12.75" customHeight="1">
      <c r="A411" s="23"/>
      <c r="B411" s="24"/>
      <c r="C411" s="24"/>
      <c r="D411" s="24"/>
      <c r="E411" s="23"/>
      <c r="F411" s="20">
        <v>0</v>
      </c>
      <c r="G411" s="20">
        <v>27744.11</v>
      </c>
      <c r="H411" s="20">
        <v>0</v>
      </c>
      <c r="I411" s="21">
        <v>250587.28</v>
      </c>
      <c r="J411" s="21"/>
      <c r="K411" s="21">
        <v>0</v>
      </c>
      <c r="L411" s="21"/>
      <c r="M411" s="20">
        <v>752.7799999999999</v>
      </c>
      <c r="N411" s="20">
        <v>335.72</v>
      </c>
      <c r="O411" s="20">
        <v>358643.63</v>
      </c>
      <c r="P411" s="22">
        <v>76.28476302935229</v>
      </c>
      <c r="Q411" s="22">
        <v>99.22391734211432</v>
      </c>
    </row>
    <row r="412" spans="1:17" ht="18" customHeight="1">
      <c r="A412" s="23"/>
      <c r="B412" s="24"/>
      <c r="C412" s="24"/>
      <c r="D412" s="24"/>
      <c r="E412" s="23"/>
      <c r="F412" s="23"/>
      <c r="G412" s="23"/>
      <c r="H412" s="23"/>
      <c r="I412" s="24"/>
      <c r="J412" s="24"/>
      <c r="K412" s="24"/>
      <c r="L412" s="24"/>
      <c r="M412" s="23"/>
      <c r="N412" s="23"/>
      <c r="O412" s="23"/>
      <c r="P412" s="23"/>
      <c r="Q412" s="23"/>
    </row>
    <row r="413" spans="1:17" ht="12.75" customHeight="1">
      <c r="A413" s="10"/>
      <c r="B413" s="11" t="s">
        <v>292</v>
      </c>
      <c r="C413" s="11"/>
      <c r="D413" s="11"/>
      <c r="E413" s="12">
        <f>ROUND(14006.94,2)</f>
        <v>14006.94</v>
      </c>
      <c r="F413" s="12">
        <f>ROUND(126.06,2)</f>
        <v>126.06</v>
      </c>
      <c r="G413" s="12">
        <f>ROUND(14133,2)</f>
        <v>14133</v>
      </c>
      <c r="H413" s="12">
        <f>ROUND(11711.05,2)</f>
        <v>11711.05</v>
      </c>
      <c r="I413" s="13">
        <f>ROUND(11711.05,2)</f>
        <v>11711.05</v>
      </c>
      <c r="J413" s="13"/>
      <c r="K413" s="13">
        <f>ROUND(11711.05,2)</f>
        <v>11711.05</v>
      </c>
      <c r="L413" s="13"/>
      <c r="M413" s="12">
        <f>ROUND(11711.05,2)</f>
        <v>11711.05</v>
      </c>
      <c r="N413" s="12">
        <f>ROUND(11711.05,2)</f>
        <v>11711.05</v>
      </c>
      <c r="O413" s="12">
        <f>ROUND(2421.95,2)</f>
        <v>2421.95</v>
      </c>
      <c r="P413" s="14">
        <v>17.136842850067215</v>
      </c>
      <c r="Q413" s="14">
        <v>82.86315714993277</v>
      </c>
    </row>
    <row r="414" spans="1:17" ht="12.75" customHeight="1">
      <c r="A414" s="15" t="s">
        <v>293</v>
      </c>
      <c r="B414" s="15"/>
      <c r="C414" s="15"/>
      <c r="D414" s="15"/>
      <c r="E414" s="16" t="s">
        <v>41</v>
      </c>
      <c r="F414" s="17">
        <f>ROUND(0,2)</f>
        <v>0</v>
      </c>
      <c r="G414" s="17">
        <f>ROUND(0,2)</f>
        <v>0</v>
      </c>
      <c r="H414" s="17">
        <f>ROUND(0,2)</f>
        <v>0</v>
      </c>
      <c r="I414" s="17">
        <f>ROUND(0,2)</f>
        <v>0</v>
      </c>
      <c r="J414" s="17"/>
      <c r="K414" s="17">
        <f>ROUND(0,2)</f>
        <v>0</v>
      </c>
      <c r="L414" s="17"/>
      <c r="M414" s="17">
        <f>ROUND(0,2)</f>
        <v>0</v>
      </c>
      <c r="N414" s="17">
        <f>ROUND(0,2)</f>
        <v>0</v>
      </c>
      <c r="O414" s="17">
        <f>ROUND(2421.95,2)</f>
        <v>2421.95</v>
      </c>
      <c r="P414" s="18">
        <v>82.86315714993277</v>
      </c>
      <c r="Q414" s="18">
        <v>100</v>
      </c>
    </row>
    <row r="415" spans="1:17" ht="12.75" customHeight="1">
      <c r="A415" s="19" t="s">
        <v>48</v>
      </c>
      <c r="B415" s="19"/>
      <c r="C415" s="19"/>
      <c r="D415" s="19"/>
      <c r="E415" s="20">
        <f>SUM('DS1'!$A$102)</f>
        <v>14006.94</v>
      </c>
      <c r="F415" s="20">
        <v>126.06</v>
      </c>
      <c r="G415" s="20">
        <v>14133</v>
      </c>
      <c r="H415" s="20">
        <v>11711.05</v>
      </c>
      <c r="I415" s="21">
        <v>11711.05</v>
      </c>
      <c r="J415" s="21"/>
      <c r="K415" s="21">
        <v>11711.05</v>
      </c>
      <c r="L415" s="21"/>
      <c r="M415" s="20">
        <v>11711.05</v>
      </c>
      <c r="N415" s="20">
        <v>11711.05</v>
      </c>
      <c r="O415" s="20">
        <v>2421.95</v>
      </c>
      <c r="P415" s="22">
        <v>17.136842850067215</v>
      </c>
      <c r="Q415" s="22">
        <v>82.86315714993277</v>
      </c>
    </row>
    <row r="416" spans="1:17" ht="12.75" customHeight="1">
      <c r="A416" s="23"/>
      <c r="B416" s="24"/>
      <c r="C416" s="24"/>
      <c r="D416" s="24"/>
      <c r="E416" s="23"/>
      <c r="F416" s="20">
        <v>0</v>
      </c>
      <c r="G416" s="20">
        <v>0</v>
      </c>
      <c r="H416" s="20">
        <v>0</v>
      </c>
      <c r="I416" s="21">
        <v>0</v>
      </c>
      <c r="J416" s="21"/>
      <c r="K416" s="21">
        <v>0</v>
      </c>
      <c r="L416" s="21"/>
      <c r="M416" s="20">
        <v>0</v>
      </c>
      <c r="N416" s="20">
        <v>0</v>
      </c>
      <c r="O416" s="20">
        <v>2421.9500000000007</v>
      </c>
      <c r="P416" s="22">
        <v>82.86315714993277</v>
      </c>
      <c r="Q416" s="22">
        <v>100</v>
      </c>
    </row>
    <row r="417" spans="1:17" ht="20.25" customHeight="1">
      <c r="A417" s="23"/>
      <c r="B417" s="24"/>
      <c r="C417" s="24"/>
      <c r="D417" s="24"/>
      <c r="E417" s="23"/>
      <c r="F417" s="23"/>
      <c r="G417" s="23"/>
      <c r="H417" s="23"/>
      <c r="I417" s="24"/>
      <c r="J417" s="24"/>
      <c r="K417" s="24"/>
      <c r="L417" s="24"/>
      <c r="M417" s="23"/>
      <c r="N417" s="23"/>
      <c r="O417" s="23"/>
      <c r="P417" s="23"/>
      <c r="Q417" s="23"/>
    </row>
    <row r="418" spans="1:17" ht="12.75" customHeight="1">
      <c r="A418" s="10"/>
      <c r="B418" s="11" t="s">
        <v>294</v>
      </c>
      <c r="C418" s="11"/>
      <c r="D418" s="11"/>
      <c r="E418" s="12">
        <f>ROUND(1825.68,2)</f>
        <v>1825.68</v>
      </c>
      <c r="F418" s="12">
        <f>ROUND(16.43,2)</f>
        <v>16.43</v>
      </c>
      <c r="G418" s="12">
        <f>ROUND(1842.11,2)</f>
        <v>1842.11</v>
      </c>
      <c r="H418" s="12">
        <f>ROUND(1454.74,2)</f>
        <v>1454.74</v>
      </c>
      <c r="I418" s="13">
        <f>ROUND(1454.74,2)</f>
        <v>1454.74</v>
      </c>
      <c r="J418" s="13"/>
      <c r="K418" s="13">
        <f>ROUND(1454.74,2)</f>
        <v>1454.74</v>
      </c>
      <c r="L418" s="13"/>
      <c r="M418" s="12">
        <f>ROUND(1454.74,2)</f>
        <v>1454.74</v>
      </c>
      <c r="N418" s="12">
        <f>ROUND(1454.74,2)</f>
        <v>1454.74</v>
      </c>
      <c r="O418" s="12">
        <f>ROUND(387.37,2)</f>
        <v>387.37</v>
      </c>
      <c r="P418" s="14">
        <v>21.028603069306392</v>
      </c>
      <c r="Q418" s="14">
        <v>78.9713969306936</v>
      </c>
    </row>
    <row r="419" spans="1:17" ht="12.75" customHeight="1">
      <c r="A419" s="15" t="s">
        <v>295</v>
      </c>
      <c r="B419" s="15"/>
      <c r="C419" s="15"/>
      <c r="D419" s="15"/>
      <c r="E419" s="16" t="s">
        <v>41</v>
      </c>
      <c r="F419" s="17">
        <f>ROUND(0,2)</f>
        <v>0</v>
      </c>
      <c r="G419" s="17">
        <f>ROUND(0,2)</f>
        <v>0</v>
      </c>
      <c r="H419" s="17">
        <f>ROUND(0,2)</f>
        <v>0</v>
      </c>
      <c r="I419" s="17">
        <f>ROUND(0,2)</f>
        <v>0</v>
      </c>
      <c r="J419" s="17"/>
      <c r="K419" s="17">
        <f>ROUND(0,2)</f>
        <v>0</v>
      </c>
      <c r="L419" s="17"/>
      <c r="M419" s="17">
        <f>ROUND(0,2)</f>
        <v>0</v>
      </c>
      <c r="N419" s="17">
        <f>ROUND(0,2)</f>
        <v>0</v>
      </c>
      <c r="O419" s="17">
        <f>ROUND(387.37,2)</f>
        <v>387.37</v>
      </c>
      <c r="P419" s="18">
        <v>78.9713969306936</v>
      </c>
      <c r="Q419" s="18">
        <v>100</v>
      </c>
    </row>
    <row r="420" spans="1:17" ht="12.75" customHeight="1">
      <c r="A420" s="10"/>
      <c r="B420" s="11" t="s">
        <v>296</v>
      </c>
      <c r="C420" s="11"/>
      <c r="D420" s="11"/>
      <c r="E420" s="12">
        <f>ROUND(16848.16,2)</f>
        <v>16848.16</v>
      </c>
      <c r="F420" s="12">
        <f>ROUND(151.63,2)</f>
        <v>151.63</v>
      </c>
      <c r="G420" s="12">
        <f>ROUND(16999.79,2)</f>
        <v>16999.79</v>
      </c>
      <c r="H420" s="12">
        <f>ROUND(13431.47,2)</f>
        <v>13431.47</v>
      </c>
      <c r="I420" s="13">
        <f>ROUND(13431.47,2)</f>
        <v>13431.47</v>
      </c>
      <c r="J420" s="13"/>
      <c r="K420" s="13">
        <f>ROUND(13431.47,2)</f>
        <v>13431.47</v>
      </c>
      <c r="L420" s="13"/>
      <c r="M420" s="12">
        <f>ROUND(13431.47,2)</f>
        <v>13431.47</v>
      </c>
      <c r="N420" s="12">
        <f>ROUND(13431.47,2)</f>
        <v>13431.47</v>
      </c>
      <c r="O420" s="12">
        <f>ROUND(3568.32,2)</f>
        <v>3568.32</v>
      </c>
      <c r="P420" s="14">
        <v>20.990376939950433</v>
      </c>
      <c r="Q420" s="14">
        <v>79.00962306004956</v>
      </c>
    </row>
    <row r="421" spans="1:17" ht="12.75" customHeight="1">
      <c r="A421" s="15" t="s">
        <v>297</v>
      </c>
      <c r="B421" s="15"/>
      <c r="C421" s="15"/>
      <c r="D421" s="15"/>
      <c r="E421" s="16" t="s">
        <v>41</v>
      </c>
      <c r="F421" s="17">
        <f>ROUND(0,2)</f>
        <v>0</v>
      </c>
      <c r="G421" s="17">
        <f>ROUND(0,2)</f>
        <v>0</v>
      </c>
      <c r="H421" s="17">
        <f>ROUND(0,2)</f>
        <v>0</v>
      </c>
      <c r="I421" s="17">
        <f>ROUND(0,2)</f>
        <v>0</v>
      </c>
      <c r="J421" s="17"/>
      <c r="K421" s="17">
        <f>ROUND(0,2)</f>
        <v>0</v>
      </c>
      <c r="L421" s="17"/>
      <c r="M421" s="17">
        <f>ROUND(0,2)</f>
        <v>0</v>
      </c>
      <c r="N421" s="17">
        <f>ROUND(0,2)</f>
        <v>0</v>
      </c>
      <c r="O421" s="17">
        <f>ROUND(3568.32,2)</f>
        <v>3568.32</v>
      </c>
      <c r="P421" s="18">
        <v>79.00962306004956</v>
      </c>
      <c r="Q421" s="18">
        <v>100</v>
      </c>
    </row>
    <row r="422" spans="1:17" ht="12.75" customHeight="1">
      <c r="A422" s="10"/>
      <c r="B422" s="11" t="s">
        <v>298</v>
      </c>
      <c r="C422" s="11"/>
      <c r="D422" s="11"/>
      <c r="E422" s="12">
        <f>ROUND(6693.82,2)</f>
        <v>6693.82</v>
      </c>
      <c r="F422" s="12">
        <f>ROUND(60.24,2)</f>
        <v>60.24</v>
      </c>
      <c r="G422" s="12">
        <f>ROUND(6754.06,2)</f>
        <v>6754.06</v>
      </c>
      <c r="H422" s="12">
        <f>ROUND(6453.06,2)</f>
        <v>6453.06</v>
      </c>
      <c r="I422" s="13">
        <f>ROUND(6453.06,2)</f>
        <v>6453.06</v>
      </c>
      <c r="J422" s="13"/>
      <c r="K422" s="13">
        <f>ROUND(6453.06,2)</f>
        <v>6453.06</v>
      </c>
      <c r="L422" s="13"/>
      <c r="M422" s="12">
        <f>ROUND(6453.06,2)</f>
        <v>6453.06</v>
      </c>
      <c r="N422" s="12">
        <f>ROUND(6453.06,2)</f>
        <v>6453.06</v>
      </c>
      <c r="O422" s="12">
        <f>ROUND(301,2)</f>
        <v>301</v>
      </c>
      <c r="P422" s="14">
        <v>4.456578709694614</v>
      </c>
      <c r="Q422" s="14">
        <v>95.5434212903054</v>
      </c>
    </row>
    <row r="423" spans="1:17" ht="12.75" customHeight="1">
      <c r="A423" s="15" t="s">
        <v>299</v>
      </c>
      <c r="B423" s="15"/>
      <c r="C423" s="15"/>
      <c r="D423" s="15"/>
      <c r="E423" s="16" t="s">
        <v>41</v>
      </c>
      <c r="F423" s="17">
        <f>ROUND(0,2)</f>
        <v>0</v>
      </c>
      <c r="G423" s="17">
        <f>ROUND(0,2)</f>
        <v>0</v>
      </c>
      <c r="H423" s="17">
        <f>ROUND(0,2)</f>
        <v>0</v>
      </c>
      <c r="I423" s="17">
        <f>ROUND(0,2)</f>
        <v>0</v>
      </c>
      <c r="J423" s="17"/>
      <c r="K423" s="17">
        <f>ROUND(0,2)</f>
        <v>0</v>
      </c>
      <c r="L423" s="17"/>
      <c r="M423" s="17">
        <f>ROUND(0,2)</f>
        <v>0</v>
      </c>
      <c r="N423" s="17">
        <f>ROUND(0,2)</f>
        <v>0</v>
      </c>
      <c r="O423" s="17">
        <f>ROUND(300.999999999999,2)</f>
        <v>301</v>
      </c>
      <c r="P423" s="18">
        <v>95.5434212903054</v>
      </c>
      <c r="Q423" s="18">
        <v>100</v>
      </c>
    </row>
    <row r="424" spans="1:17" ht="12.75" customHeight="1">
      <c r="A424" s="19" t="s">
        <v>57</v>
      </c>
      <c r="B424" s="19"/>
      <c r="C424" s="19"/>
      <c r="D424" s="19"/>
      <c r="E424" s="20">
        <f>SUM('DS1'!$A$103:$A$105)</f>
        <v>25367.66</v>
      </c>
      <c r="F424" s="20">
        <v>228.3</v>
      </c>
      <c r="G424" s="20">
        <v>25595.96</v>
      </c>
      <c r="H424" s="20">
        <v>21339.27</v>
      </c>
      <c r="I424" s="21">
        <v>21339.27</v>
      </c>
      <c r="J424" s="21"/>
      <c r="K424" s="21">
        <v>21339.27</v>
      </c>
      <c r="L424" s="21"/>
      <c r="M424" s="20">
        <v>21339.27</v>
      </c>
      <c r="N424" s="20">
        <v>21339.27</v>
      </c>
      <c r="O424" s="20">
        <v>4256.69</v>
      </c>
      <c r="P424" s="22">
        <v>16.630319784841046</v>
      </c>
      <c r="Q424" s="22">
        <v>83.36968021515897</v>
      </c>
    </row>
    <row r="425" spans="1:17" ht="12.75" customHeight="1">
      <c r="A425" s="23"/>
      <c r="B425" s="24"/>
      <c r="C425" s="24"/>
      <c r="D425" s="24"/>
      <c r="E425" s="23"/>
      <c r="F425" s="20">
        <v>0</v>
      </c>
      <c r="G425" s="20">
        <v>0</v>
      </c>
      <c r="H425" s="20">
        <v>0</v>
      </c>
      <c r="I425" s="21">
        <v>0</v>
      </c>
      <c r="J425" s="21"/>
      <c r="K425" s="21">
        <v>0</v>
      </c>
      <c r="L425" s="21"/>
      <c r="M425" s="20">
        <v>0</v>
      </c>
      <c r="N425" s="20">
        <v>0</v>
      </c>
      <c r="O425" s="20">
        <v>4256.6900000000005</v>
      </c>
      <c r="P425" s="22">
        <v>83.36968021515897</v>
      </c>
      <c r="Q425" s="22">
        <v>100</v>
      </c>
    </row>
    <row r="426" spans="1:17" ht="20.25" customHeight="1">
      <c r="A426" s="23"/>
      <c r="B426" s="24"/>
      <c r="C426" s="24"/>
      <c r="D426" s="24"/>
      <c r="E426" s="23"/>
      <c r="F426" s="23"/>
      <c r="G426" s="23"/>
      <c r="H426" s="23"/>
      <c r="I426" s="24"/>
      <c r="J426" s="24"/>
      <c r="K426" s="24"/>
      <c r="L426" s="24"/>
      <c r="M426" s="23"/>
      <c r="N426" s="23"/>
      <c r="O426" s="23"/>
      <c r="P426" s="23"/>
      <c r="Q426" s="23"/>
    </row>
    <row r="427" spans="1:17" ht="12.75" customHeight="1">
      <c r="A427" s="10"/>
      <c r="B427" s="11" t="s">
        <v>300</v>
      </c>
      <c r="C427" s="11"/>
      <c r="D427" s="11"/>
      <c r="E427" s="12">
        <f>ROUND(12993.62,2)</f>
        <v>12993.62</v>
      </c>
      <c r="F427" s="12">
        <f>ROUND(116.94,2)</f>
        <v>116.94</v>
      </c>
      <c r="G427" s="12">
        <f>ROUND(13110.56,2)</f>
        <v>13110.56</v>
      </c>
      <c r="H427" s="12">
        <f>ROUND(11790.68,2)</f>
        <v>11790.68</v>
      </c>
      <c r="I427" s="13">
        <f>ROUND(11790.68,2)</f>
        <v>11790.68</v>
      </c>
      <c r="J427" s="13"/>
      <c r="K427" s="13">
        <f>ROUND(11790.68,2)</f>
        <v>11790.68</v>
      </c>
      <c r="L427" s="13"/>
      <c r="M427" s="12">
        <f>ROUND(11790.68,2)</f>
        <v>11790.68</v>
      </c>
      <c r="N427" s="12">
        <f>ROUND(11790.68,2)</f>
        <v>11790.68</v>
      </c>
      <c r="O427" s="12">
        <f>ROUND(1319.88,2)</f>
        <v>1319.88</v>
      </c>
      <c r="P427" s="14">
        <v>10.06730452398677</v>
      </c>
      <c r="Q427" s="14">
        <v>89.93269547601322</v>
      </c>
    </row>
    <row r="428" spans="1:17" ht="12.75" customHeight="1">
      <c r="A428" s="15" t="s">
        <v>301</v>
      </c>
      <c r="B428" s="15"/>
      <c r="C428" s="15"/>
      <c r="D428" s="15"/>
      <c r="E428" s="16" t="s">
        <v>41</v>
      </c>
      <c r="F428" s="17">
        <f>ROUND(0,2)</f>
        <v>0</v>
      </c>
      <c r="G428" s="17">
        <f>ROUND(0,2)</f>
        <v>0</v>
      </c>
      <c r="H428" s="17">
        <f>ROUND(0,2)</f>
        <v>0</v>
      </c>
      <c r="I428" s="17">
        <f>ROUND(0,2)</f>
        <v>0</v>
      </c>
      <c r="J428" s="17"/>
      <c r="K428" s="17">
        <f>ROUND(0,2)</f>
        <v>0</v>
      </c>
      <c r="L428" s="17"/>
      <c r="M428" s="17">
        <f>ROUND(0,2)</f>
        <v>0</v>
      </c>
      <c r="N428" s="17">
        <f>ROUND(0,2)</f>
        <v>0</v>
      </c>
      <c r="O428" s="17">
        <f>ROUND(1319.88,2)</f>
        <v>1319.88</v>
      </c>
      <c r="P428" s="18">
        <v>89.93269547601322</v>
      </c>
      <c r="Q428" s="18">
        <v>100</v>
      </c>
    </row>
    <row r="429" spans="1:17" ht="12.75" customHeight="1">
      <c r="A429" s="19" t="s">
        <v>68</v>
      </c>
      <c r="B429" s="19"/>
      <c r="C429" s="19"/>
      <c r="D429" s="19"/>
      <c r="E429" s="20">
        <f>SUM('DS1'!$A$106)</f>
        <v>12993.62</v>
      </c>
      <c r="F429" s="20">
        <v>116.94</v>
      </c>
      <c r="G429" s="20">
        <v>13110.560000000001</v>
      </c>
      <c r="H429" s="20">
        <v>11790.68</v>
      </c>
      <c r="I429" s="21">
        <v>11790.68</v>
      </c>
      <c r="J429" s="21"/>
      <c r="K429" s="21">
        <v>11790.68</v>
      </c>
      <c r="L429" s="21"/>
      <c r="M429" s="20">
        <v>11790.68</v>
      </c>
      <c r="N429" s="20">
        <v>11790.68</v>
      </c>
      <c r="O429" s="20">
        <v>1319.88</v>
      </c>
      <c r="P429" s="22">
        <v>10.06730452398677</v>
      </c>
      <c r="Q429" s="22">
        <v>89.93269547601322</v>
      </c>
    </row>
    <row r="430" spans="1:17" ht="12.75" customHeight="1">
      <c r="A430" s="23"/>
      <c r="B430" s="24"/>
      <c r="C430" s="24"/>
      <c r="D430" s="24"/>
      <c r="E430" s="23"/>
      <c r="F430" s="20">
        <v>0</v>
      </c>
      <c r="G430" s="20">
        <v>0</v>
      </c>
      <c r="H430" s="20">
        <v>0</v>
      </c>
      <c r="I430" s="21">
        <v>0</v>
      </c>
      <c r="J430" s="21"/>
      <c r="K430" s="21">
        <v>0</v>
      </c>
      <c r="L430" s="21"/>
      <c r="M430" s="20">
        <v>0</v>
      </c>
      <c r="N430" s="20">
        <v>0</v>
      </c>
      <c r="O430" s="20">
        <v>1319.880000000001</v>
      </c>
      <c r="P430" s="22">
        <v>89.93269547601322</v>
      </c>
      <c r="Q430" s="22">
        <v>100</v>
      </c>
    </row>
    <row r="431" spans="1:17" ht="20.25" customHeight="1">
      <c r="A431" s="23"/>
      <c r="B431" s="24"/>
      <c r="C431" s="24"/>
      <c r="D431" s="24"/>
      <c r="E431" s="23"/>
      <c r="F431" s="23"/>
      <c r="G431" s="23"/>
      <c r="H431" s="23"/>
      <c r="I431" s="24"/>
      <c r="J431" s="24"/>
      <c r="K431" s="24"/>
      <c r="L431" s="24"/>
      <c r="M431" s="23"/>
      <c r="N431" s="23"/>
      <c r="O431" s="23"/>
      <c r="P431" s="23"/>
      <c r="Q431" s="23"/>
    </row>
    <row r="432" spans="1:17" ht="12.75" customHeight="1">
      <c r="A432" s="10"/>
      <c r="B432" s="11" t="s">
        <v>302</v>
      </c>
      <c r="C432" s="11"/>
      <c r="D432" s="11"/>
      <c r="E432" s="12">
        <f>ROUND(75000,2)</f>
        <v>75000</v>
      </c>
      <c r="F432" s="12">
        <f aca="true" t="shared" si="233" ref="F432:F433">ROUND(0,2)</f>
        <v>0</v>
      </c>
      <c r="G432" s="12">
        <f>ROUND(75000,2)</f>
        <v>75000</v>
      </c>
      <c r="H432" s="12">
        <f>ROUND(71250,2)</f>
        <v>71250</v>
      </c>
      <c r="I432" s="13">
        <f>ROUND(71250,2)</f>
        <v>71250</v>
      </c>
      <c r="J432" s="13"/>
      <c r="K432" s="13">
        <f>ROUND(53437.5,2)</f>
        <v>53437.5</v>
      </c>
      <c r="L432" s="13"/>
      <c r="M432" s="12">
        <f aca="true" t="shared" si="234" ref="M432:M433">ROUND(53437.5,2)</f>
        <v>53437.5</v>
      </c>
      <c r="N432" s="12">
        <f aca="true" t="shared" si="235" ref="N432:N433">ROUND(0,2)</f>
        <v>0</v>
      </c>
      <c r="O432" s="12">
        <f>ROUND(3750,2)</f>
        <v>3750</v>
      </c>
      <c r="P432" s="14">
        <v>5</v>
      </c>
      <c r="Q432" s="14">
        <v>71.25</v>
      </c>
    </row>
    <row r="433" spans="1:17" ht="12.75" customHeight="1">
      <c r="A433" s="15" t="s">
        <v>303</v>
      </c>
      <c r="B433" s="15"/>
      <c r="C433" s="15"/>
      <c r="D433" s="15"/>
      <c r="E433" s="16" t="s">
        <v>270</v>
      </c>
      <c r="F433" s="17">
        <f t="shared" si="233"/>
        <v>0</v>
      </c>
      <c r="G433" s="17">
        <f>ROUND(0,2)</f>
        <v>0</v>
      </c>
      <c r="H433" s="17">
        <f>ROUND(0,2)</f>
        <v>0</v>
      </c>
      <c r="I433" s="17">
        <f>ROUND(17812.5,2)</f>
        <v>17812.5</v>
      </c>
      <c r="J433" s="17"/>
      <c r="K433" s="17">
        <f>ROUND(0,2)</f>
        <v>0</v>
      </c>
      <c r="L433" s="17"/>
      <c r="M433" s="17">
        <f t="shared" si="234"/>
        <v>53437.5</v>
      </c>
      <c r="N433" s="17">
        <f t="shared" si="235"/>
        <v>0</v>
      </c>
      <c r="O433" s="17">
        <f>ROUND(21562.5,2)</f>
        <v>21562.5</v>
      </c>
      <c r="P433" s="18">
        <v>95</v>
      </c>
      <c r="Q433" s="18">
        <v>0</v>
      </c>
    </row>
    <row r="434" spans="1:17" ht="12.75" customHeight="1">
      <c r="A434" s="19" t="s">
        <v>304</v>
      </c>
      <c r="B434" s="19"/>
      <c r="C434" s="19"/>
      <c r="D434" s="19"/>
      <c r="E434" s="20">
        <f>SUM('DS1'!$A$107)</f>
        <v>75000</v>
      </c>
      <c r="F434" s="20">
        <v>0</v>
      </c>
      <c r="G434" s="20">
        <v>75000</v>
      </c>
      <c r="H434" s="20">
        <v>71250</v>
      </c>
      <c r="I434" s="21">
        <v>71250</v>
      </c>
      <c r="J434" s="21"/>
      <c r="K434" s="21">
        <v>53437.5</v>
      </c>
      <c r="L434" s="21"/>
      <c r="M434" s="20">
        <v>53437.5</v>
      </c>
      <c r="N434" s="20">
        <v>0</v>
      </c>
      <c r="O434" s="20">
        <v>3750</v>
      </c>
      <c r="P434" s="22">
        <v>5</v>
      </c>
      <c r="Q434" s="22">
        <v>71.25</v>
      </c>
    </row>
    <row r="435" spans="1:17" ht="12.75" customHeight="1">
      <c r="A435" s="23"/>
      <c r="B435" s="24"/>
      <c r="C435" s="24"/>
      <c r="D435" s="24"/>
      <c r="E435" s="23"/>
      <c r="F435" s="20">
        <v>0</v>
      </c>
      <c r="G435" s="20">
        <v>0</v>
      </c>
      <c r="H435" s="20">
        <v>0</v>
      </c>
      <c r="I435" s="21">
        <v>17812.5</v>
      </c>
      <c r="J435" s="21"/>
      <c r="K435" s="21">
        <v>0</v>
      </c>
      <c r="L435" s="21"/>
      <c r="M435" s="20">
        <v>53437.5</v>
      </c>
      <c r="N435" s="20">
        <v>0</v>
      </c>
      <c r="O435" s="20">
        <v>21562.5</v>
      </c>
      <c r="P435" s="22">
        <v>95</v>
      </c>
      <c r="Q435" s="22">
        <v>0</v>
      </c>
    </row>
    <row r="436" spans="1:17" ht="20.25" customHeight="1">
      <c r="A436" s="23"/>
      <c r="B436" s="24"/>
      <c r="C436" s="24"/>
      <c r="D436" s="24"/>
      <c r="E436" s="23"/>
      <c r="F436" s="23"/>
      <c r="G436" s="23"/>
      <c r="H436" s="23"/>
      <c r="I436" s="24"/>
      <c r="J436" s="24"/>
      <c r="K436" s="24"/>
      <c r="L436" s="24"/>
      <c r="M436" s="23"/>
      <c r="N436" s="23"/>
      <c r="O436" s="23"/>
      <c r="P436" s="23"/>
      <c r="Q436" s="23"/>
    </row>
    <row r="437" spans="1:17" ht="12.75" customHeight="1">
      <c r="A437" s="10"/>
      <c r="B437" s="11" t="s">
        <v>305</v>
      </c>
      <c r="C437" s="11"/>
      <c r="D437" s="11"/>
      <c r="E437" s="12">
        <f>ROUND(420000,2)</f>
        <v>420000</v>
      </c>
      <c r="F437" s="12">
        <f>ROUND(-92173.16,2)</f>
        <v>-92173.16</v>
      </c>
      <c r="G437" s="12">
        <f>ROUND(327826.84,2)</f>
        <v>327826.84</v>
      </c>
      <c r="H437" s="12">
        <f>ROUND(123097.71,2)</f>
        <v>123097.71</v>
      </c>
      <c r="I437" s="13">
        <f>ROUND(123097.71,2)</f>
        <v>123097.71</v>
      </c>
      <c r="J437" s="13"/>
      <c r="K437" s="13">
        <f>ROUND(123097.71,2)</f>
        <v>123097.71</v>
      </c>
      <c r="L437" s="13"/>
      <c r="M437" s="12">
        <f>ROUND(123097.71,2)</f>
        <v>123097.71</v>
      </c>
      <c r="N437" s="12">
        <f>ROUND(123097.71,2)</f>
        <v>123097.71</v>
      </c>
      <c r="O437" s="12">
        <f>ROUND(204729.13,2)</f>
        <v>204729.13</v>
      </c>
      <c r="P437" s="14">
        <v>62.45038691767887</v>
      </c>
      <c r="Q437" s="14">
        <v>37.54961308232115</v>
      </c>
    </row>
    <row r="438" spans="1:17" ht="12.75" customHeight="1">
      <c r="A438" s="15" t="s">
        <v>306</v>
      </c>
      <c r="B438" s="15"/>
      <c r="C438" s="15"/>
      <c r="D438" s="15"/>
      <c r="E438" s="16" t="s">
        <v>232</v>
      </c>
      <c r="F438" s="17">
        <f>ROUND(0,2)</f>
        <v>0</v>
      </c>
      <c r="G438" s="17">
        <f>ROUND(0,2)</f>
        <v>0</v>
      </c>
      <c r="H438" s="17">
        <f>ROUND(0,2)</f>
        <v>0</v>
      </c>
      <c r="I438" s="17">
        <f>ROUND(0,2)</f>
        <v>0</v>
      </c>
      <c r="J438" s="17"/>
      <c r="K438" s="17">
        <f>ROUND(0,2)</f>
        <v>0</v>
      </c>
      <c r="L438" s="17"/>
      <c r="M438" s="17">
        <f>ROUND(0,2)</f>
        <v>0</v>
      </c>
      <c r="N438" s="17">
        <f>ROUND(0,2)</f>
        <v>0</v>
      </c>
      <c r="O438" s="17">
        <f>ROUND(204729.13,2)</f>
        <v>204729.13</v>
      </c>
      <c r="P438" s="18">
        <v>29.30897857142857</v>
      </c>
      <c r="Q438" s="18">
        <v>100</v>
      </c>
    </row>
    <row r="439" spans="1:17" ht="12.75" customHeight="1">
      <c r="A439" s="19" t="s">
        <v>92</v>
      </c>
      <c r="B439" s="19"/>
      <c r="C439" s="19"/>
      <c r="D439" s="19"/>
      <c r="E439" s="20">
        <f>SUM('DS1'!$A$108)</f>
        <v>420000</v>
      </c>
      <c r="F439" s="20">
        <v>-92173.16</v>
      </c>
      <c r="G439" s="20">
        <v>327826.83999999997</v>
      </c>
      <c r="H439" s="20">
        <v>123097.71</v>
      </c>
      <c r="I439" s="21">
        <v>123097.71</v>
      </c>
      <c r="J439" s="21"/>
      <c r="K439" s="21">
        <v>123097.71</v>
      </c>
      <c r="L439" s="21"/>
      <c r="M439" s="20">
        <v>123097.71</v>
      </c>
      <c r="N439" s="20">
        <v>123097.71</v>
      </c>
      <c r="O439" s="20">
        <v>204729.13</v>
      </c>
      <c r="P439" s="22">
        <v>62.45038691767887</v>
      </c>
      <c r="Q439" s="22">
        <v>37.54961308232115</v>
      </c>
    </row>
    <row r="440" spans="1:17" ht="12.75" customHeight="1">
      <c r="A440" s="23"/>
      <c r="B440" s="24"/>
      <c r="C440" s="24"/>
      <c r="D440" s="24"/>
      <c r="E440" s="23"/>
      <c r="F440" s="20">
        <v>0</v>
      </c>
      <c r="G440" s="20">
        <v>0</v>
      </c>
      <c r="H440" s="20">
        <v>0</v>
      </c>
      <c r="I440" s="21">
        <v>0</v>
      </c>
      <c r="J440" s="21"/>
      <c r="K440" s="21">
        <v>0</v>
      </c>
      <c r="L440" s="21"/>
      <c r="M440" s="20">
        <v>0</v>
      </c>
      <c r="N440" s="20">
        <v>0</v>
      </c>
      <c r="O440" s="20">
        <v>204729.12999999995</v>
      </c>
      <c r="P440" s="22">
        <v>37.54961308232115</v>
      </c>
      <c r="Q440" s="22">
        <v>100</v>
      </c>
    </row>
    <row r="441" spans="1:17" ht="20.25" customHeight="1">
      <c r="A441" s="23"/>
      <c r="B441" s="24"/>
      <c r="C441" s="24"/>
      <c r="D441" s="24"/>
      <c r="E441" s="23"/>
      <c r="F441" s="23"/>
      <c r="G441" s="23"/>
      <c r="H441" s="23"/>
      <c r="I441" s="24"/>
      <c r="J441" s="24"/>
      <c r="K441" s="24"/>
      <c r="L441" s="24"/>
      <c r="M441" s="23"/>
      <c r="N441" s="23"/>
      <c r="O441" s="23"/>
      <c r="P441" s="23"/>
      <c r="Q441" s="23"/>
    </row>
    <row r="442" spans="1:17" ht="12.75" customHeight="1">
      <c r="A442" s="10" t="s">
        <v>83</v>
      </c>
      <c r="B442" s="11" t="s">
        <v>307</v>
      </c>
      <c r="C442" s="11"/>
      <c r="D442" s="11"/>
      <c r="E442" s="12">
        <f>ROUND(0,2)</f>
        <v>0</v>
      </c>
      <c r="F442" s="12">
        <f aca="true" t="shared" si="236" ref="F442:F443">ROUND(9580.78,2)</f>
        <v>9580.78</v>
      </c>
      <c r="G442" s="12">
        <f>ROUND(9580.78,2)</f>
        <v>9580.78</v>
      </c>
      <c r="H442" s="12">
        <f>ROUND(9580.78,2)</f>
        <v>9580.78</v>
      </c>
      <c r="I442" s="13">
        <f aca="true" t="shared" si="237" ref="I442:I443">ROUND(9580.78,2)</f>
        <v>9580.78</v>
      </c>
      <c r="J442" s="13"/>
      <c r="K442" s="13">
        <f aca="true" t="shared" si="238" ref="K442:K443">ROUND(0,2)</f>
        <v>0</v>
      </c>
      <c r="L442" s="13"/>
      <c r="M442" s="12">
        <f aca="true" t="shared" si="239" ref="M442:M443">ROUND(0,2)</f>
        <v>0</v>
      </c>
      <c r="N442" s="12">
        <f aca="true" t="shared" si="240" ref="N442:N443">ROUND(0,2)</f>
        <v>0</v>
      </c>
      <c r="O442" s="12">
        <f>ROUND(0,2)</f>
        <v>0</v>
      </c>
      <c r="P442" s="14">
        <v>0</v>
      </c>
      <c r="Q442" s="14">
        <v>0</v>
      </c>
    </row>
    <row r="443" spans="1:17" ht="12.75" customHeight="1">
      <c r="A443" s="15" t="s">
        <v>308</v>
      </c>
      <c r="B443" s="15"/>
      <c r="C443" s="15"/>
      <c r="D443" s="15"/>
      <c r="E443" s="16" t="s">
        <v>309</v>
      </c>
      <c r="F443" s="17">
        <f t="shared" si="236"/>
        <v>9580.78</v>
      </c>
      <c r="G443" s="17">
        <f>ROUND(0,2)</f>
        <v>0</v>
      </c>
      <c r="H443" s="17">
        <f>ROUND(0,2)</f>
        <v>0</v>
      </c>
      <c r="I443" s="17">
        <f t="shared" si="237"/>
        <v>9580.78</v>
      </c>
      <c r="J443" s="17"/>
      <c r="K443" s="17">
        <f t="shared" si="238"/>
        <v>0</v>
      </c>
      <c r="L443" s="17"/>
      <c r="M443" s="17">
        <f t="shared" si="239"/>
        <v>0</v>
      </c>
      <c r="N443" s="17">
        <f t="shared" si="240"/>
        <v>0</v>
      </c>
      <c r="O443" s="17">
        <f>ROUND(9580.78,2)</f>
        <v>9580.78</v>
      </c>
      <c r="P443" s="18">
        <v>100</v>
      </c>
      <c r="Q443" s="18">
        <v>0</v>
      </c>
    </row>
    <row r="444" spans="1:17" ht="12.75" customHeight="1">
      <c r="A444" s="10"/>
      <c r="B444" s="11" t="s">
        <v>310</v>
      </c>
      <c r="C444" s="11"/>
      <c r="D444" s="11"/>
      <c r="E444" s="12">
        <f>ROUND(475000,2)</f>
        <v>475000</v>
      </c>
      <c r="F444" s="12">
        <f>ROUND(-29958.6,2)</f>
        <v>-29958.6</v>
      </c>
      <c r="G444" s="12">
        <f>ROUND(445041.4,2)</f>
        <v>445041.4</v>
      </c>
      <c r="H444" s="12">
        <f>ROUND(440240.45,2)</f>
        <v>440240.45</v>
      </c>
      <c r="I444" s="13">
        <f>ROUND(440240.45,2)</f>
        <v>440240.45</v>
      </c>
      <c r="J444" s="13"/>
      <c r="K444" s="13">
        <f>ROUND(377563.92,2)</f>
        <v>377563.92</v>
      </c>
      <c r="L444" s="13"/>
      <c r="M444" s="12">
        <f>ROUND(377563.92,2)</f>
        <v>377563.92</v>
      </c>
      <c r="N444" s="12">
        <f>ROUND(377563.92,2)</f>
        <v>377563.92</v>
      </c>
      <c r="O444" s="12">
        <f>ROUND(4800.95,2)</f>
        <v>4800.95</v>
      </c>
      <c r="P444" s="14">
        <v>1.0787648070494114</v>
      </c>
      <c r="Q444" s="14">
        <v>84.83793193172589</v>
      </c>
    </row>
    <row r="445" spans="1:17" ht="12.75" customHeight="1">
      <c r="A445" s="15" t="s">
        <v>308</v>
      </c>
      <c r="B445" s="15"/>
      <c r="C445" s="15"/>
      <c r="D445" s="15"/>
      <c r="E445" s="16" t="s">
        <v>232</v>
      </c>
      <c r="F445" s="17">
        <f>ROUND(0,2)</f>
        <v>0</v>
      </c>
      <c r="G445" s="17">
        <f>ROUND(0,2)</f>
        <v>0</v>
      </c>
      <c r="H445" s="17">
        <f>ROUND(0,2)</f>
        <v>0</v>
      </c>
      <c r="I445" s="17">
        <f>ROUND(62676.53,2)</f>
        <v>62676.53</v>
      </c>
      <c r="J445" s="17"/>
      <c r="K445" s="17">
        <f>ROUND(0,2)</f>
        <v>0</v>
      </c>
      <c r="L445" s="17"/>
      <c r="M445" s="17">
        <f>ROUND(0,2)</f>
        <v>0</v>
      </c>
      <c r="N445" s="17">
        <f>ROUND(0,2)</f>
        <v>0</v>
      </c>
      <c r="O445" s="17">
        <f>ROUND(67477.48,2)</f>
        <v>67477.48</v>
      </c>
      <c r="P445" s="18">
        <v>92.68220000000001</v>
      </c>
      <c r="Q445" s="18">
        <v>100</v>
      </c>
    </row>
    <row r="446" spans="1:17" ht="12.75" customHeight="1">
      <c r="A446" s="10" t="s">
        <v>83</v>
      </c>
      <c r="B446" s="11" t="s">
        <v>311</v>
      </c>
      <c r="C446" s="11"/>
      <c r="D446" s="11"/>
      <c r="E446" s="12">
        <f>ROUND(0,2)</f>
        <v>0</v>
      </c>
      <c r="F446" s="12">
        <f aca="true" t="shared" si="241" ref="F446:F447">ROUND(61434.03,2)</f>
        <v>61434.03</v>
      </c>
      <c r="G446" s="12">
        <f>ROUND(61434.03,2)</f>
        <v>61434.03</v>
      </c>
      <c r="H446" s="12">
        <f>ROUND(61434.03,2)</f>
        <v>61434.03</v>
      </c>
      <c r="I446" s="13">
        <f>ROUND(61434.03,2)</f>
        <v>61434.03</v>
      </c>
      <c r="J446" s="13"/>
      <c r="K446" s="13">
        <f>ROUND(61434.03,2)</f>
        <v>61434.03</v>
      </c>
      <c r="L446" s="13"/>
      <c r="M446" s="12">
        <f>ROUND(61434.03,2)</f>
        <v>61434.03</v>
      </c>
      <c r="N446" s="12">
        <f>ROUND(61434.03,2)</f>
        <v>61434.03</v>
      </c>
      <c r="O446" s="12">
        <f aca="true" t="shared" si="242" ref="O446:O447">ROUND(0,2)</f>
        <v>0</v>
      </c>
      <c r="P446" s="14">
        <v>0</v>
      </c>
      <c r="Q446" s="14">
        <v>100</v>
      </c>
    </row>
    <row r="447" spans="1:17" ht="12.75" customHeight="1">
      <c r="A447" s="15" t="s">
        <v>308</v>
      </c>
      <c r="B447" s="15"/>
      <c r="C447" s="15"/>
      <c r="D447" s="15"/>
      <c r="E447" s="16" t="s">
        <v>312</v>
      </c>
      <c r="F447" s="17">
        <f t="shared" si="241"/>
        <v>61434.03</v>
      </c>
      <c r="G447" s="17">
        <f>ROUND(0,2)</f>
        <v>0</v>
      </c>
      <c r="H447" s="17">
        <f>ROUND(0,2)</f>
        <v>0</v>
      </c>
      <c r="I447" s="17">
        <f>ROUND(0,2)</f>
        <v>0</v>
      </c>
      <c r="J447" s="17"/>
      <c r="K447" s="17">
        <f>ROUND(0,2)</f>
        <v>0</v>
      </c>
      <c r="L447" s="17"/>
      <c r="M447" s="17">
        <f>ROUND(0,2)</f>
        <v>0</v>
      </c>
      <c r="N447" s="17">
        <f>ROUND(0,2)</f>
        <v>0</v>
      </c>
      <c r="O447" s="17">
        <f t="shared" si="242"/>
        <v>0</v>
      </c>
      <c r="P447" s="18">
        <v>100</v>
      </c>
      <c r="Q447" s="18">
        <v>100</v>
      </c>
    </row>
    <row r="448" spans="1:17" ht="12.75" customHeight="1">
      <c r="A448" s="19" t="s">
        <v>37</v>
      </c>
      <c r="B448" s="19"/>
      <c r="C448" s="19"/>
      <c r="D448" s="19"/>
      <c r="E448" s="20">
        <f>SUM('DS1'!$A$109:$A$111)</f>
        <v>475000</v>
      </c>
      <c r="F448" s="20">
        <v>41056.21</v>
      </c>
      <c r="G448" s="20">
        <v>516056.2100000001</v>
      </c>
      <c r="H448" s="20">
        <v>511255.26</v>
      </c>
      <c r="I448" s="21">
        <v>511255.26</v>
      </c>
      <c r="J448" s="21"/>
      <c r="K448" s="21">
        <v>438997.95</v>
      </c>
      <c r="L448" s="21"/>
      <c r="M448" s="20">
        <v>438997.95</v>
      </c>
      <c r="N448" s="20">
        <v>438997.95</v>
      </c>
      <c r="O448" s="20">
        <v>4800.95</v>
      </c>
      <c r="P448" s="22">
        <v>0.9303153235962415</v>
      </c>
      <c r="Q448" s="22">
        <v>85.06785530204161</v>
      </c>
    </row>
    <row r="449" spans="1:17" ht="12.75" customHeight="1">
      <c r="A449" s="23"/>
      <c r="B449" s="24"/>
      <c r="C449" s="24"/>
      <c r="D449" s="24"/>
      <c r="E449" s="23"/>
      <c r="F449" s="20">
        <v>71014.81</v>
      </c>
      <c r="G449" s="20">
        <v>0</v>
      </c>
      <c r="H449" s="20">
        <v>0</v>
      </c>
      <c r="I449" s="21">
        <v>72257.31000000003</v>
      </c>
      <c r="J449" s="21"/>
      <c r="K449" s="21">
        <v>0</v>
      </c>
      <c r="L449" s="21"/>
      <c r="M449" s="20">
        <v>0</v>
      </c>
      <c r="N449" s="20">
        <v>0</v>
      </c>
      <c r="O449" s="20">
        <v>77058.26000000004</v>
      </c>
      <c r="P449" s="22">
        <v>99.06968467640375</v>
      </c>
      <c r="Q449" s="22">
        <v>100</v>
      </c>
    </row>
    <row r="450" spans="1:17" ht="20.25" customHeight="1">
      <c r="A450" s="23"/>
      <c r="B450" s="24"/>
      <c r="C450" s="24"/>
      <c r="D450" s="24"/>
      <c r="E450" s="23"/>
      <c r="F450" s="23"/>
      <c r="G450" s="23"/>
      <c r="H450" s="23"/>
      <c r="I450" s="24"/>
      <c r="J450" s="24"/>
      <c r="K450" s="24"/>
      <c r="L450" s="24"/>
      <c r="M450" s="23"/>
      <c r="N450" s="23"/>
      <c r="O450" s="23"/>
      <c r="P450" s="23"/>
      <c r="Q450" s="23"/>
    </row>
    <row r="451" spans="1:17" ht="12.75" customHeight="1">
      <c r="A451" s="10"/>
      <c r="B451" s="11" t="s">
        <v>313</v>
      </c>
      <c r="C451" s="11"/>
      <c r="D451" s="11"/>
      <c r="E451" s="12">
        <f>ROUND(0,2)</f>
        <v>0</v>
      </c>
      <c r="F451" s="12">
        <f>ROUND(14958.6,2)</f>
        <v>14958.6</v>
      </c>
      <c r="G451" s="12">
        <f>ROUND(14958.6,2)</f>
        <v>14958.6</v>
      </c>
      <c r="H451" s="12">
        <f>ROUND(14958.6,2)</f>
        <v>14958.6</v>
      </c>
      <c r="I451" s="13">
        <f>ROUND(14958.6,2)</f>
        <v>14958.6</v>
      </c>
      <c r="J451" s="13"/>
      <c r="K451" s="13">
        <f>ROUND(14958.6,2)</f>
        <v>14958.6</v>
      </c>
      <c r="L451" s="13"/>
      <c r="M451" s="12">
        <f>ROUND(14958.6,2)</f>
        <v>14958.6</v>
      </c>
      <c r="N451" s="12">
        <f>ROUND(14958.6,2)</f>
        <v>14958.6</v>
      </c>
      <c r="O451" s="12">
        <f aca="true" t="shared" si="243" ref="O451:O452">ROUND(0,2)</f>
        <v>0</v>
      </c>
      <c r="P451" s="14">
        <v>0</v>
      </c>
      <c r="Q451" s="14">
        <v>100</v>
      </c>
    </row>
    <row r="452" spans="1:17" ht="12.75" customHeight="1">
      <c r="A452" s="15" t="s">
        <v>314</v>
      </c>
      <c r="B452" s="15"/>
      <c r="C452" s="15"/>
      <c r="D452" s="15"/>
      <c r="E452" s="16" t="s">
        <v>315</v>
      </c>
      <c r="F452" s="17">
        <f>ROUND(0,2)</f>
        <v>0</v>
      </c>
      <c r="G452" s="17">
        <f>ROUND(0,2)</f>
        <v>0</v>
      </c>
      <c r="H452" s="17">
        <f>ROUND(0,2)</f>
        <v>0</v>
      </c>
      <c r="I452" s="17">
        <f>ROUND(0,2)</f>
        <v>0</v>
      </c>
      <c r="J452" s="17"/>
      <c r="K452" s="17">
        <f>ROUND(0,2)</f>
        <v>0</v>
      </c>
      <c r="L452" s="17"/>
      <c r="M452" s="17">
        <f>ROUND(0,2)</f>
        <v>0</v>
      </c>
      <c r="N452" s="17">
        <f>ROUND(0,2)</f>
        <v>0</v>
      </c>
      <c r="O452" s="17">
        <f t="shared" si="243"/>
        <v>0</v>
      </c>
      <c r="P452" s="18">
        <v>100</v>
      </c>
      <c r="Q452" s="18">
        <v>100</v>
      </c>
    </row>
    <row r="453" spans="1:17" ht="12.75" customHeight="1">
      <c r="A453" s="19" t="s">
        <v>316</v>
      </c>
      <c r="B453" s="19"/>
      <c r="C453" s="19"/>
      <c r="D453" s="19"/>
      <c r="E453" s="20">
        <f>SUM('DS1'!$A$112)</f>
        <v>0</v>
      </c>
      <c r="F453" s="20">
        <v>14958.6</v>
      </c>
      <c r="G453" s="20">
        <v>14958.6</v>
      </c>
      <c r="H453" s="20">
        <v>14958.6</v>
      </c>
      <c r="I453" s="21">
        <v>14958.6</v>
      </c>
      <c r="J453" s="21"/>
      <c r="K453" s="21">
        <v>14958.6</v>
      </c>
      <c r="L453" s="21"/>
      <c r="M453" s="20">
        <v>14958.6</v>
      </c>
      <c r="N453" s="20">
        <v>14958.6</v>
      </c>
      <c r="O453" s="20">
        <v>0</v>
      </c>
      <c r="P453" s="22">
        <v>0</v>
      </c>
      <c r="Q453" s="22">
        <v>100</v>
      </c>
    </row>
    <row r="454" spans="1:17" ht="12.75" customHeight="1">
      <c r="A454" s="23"/>
      <c r="B454" s="24"/>
      <c r="C454" s="24"/>
      <c r="D454" s="24"/>
      <c r="E454" s="23"/>
      <c r="F454" s="20">
        <v>0</v>
      </c>
      <c r="G454" s="20">
        <v>0</v>
      </c>
      <c r="H454" s="20">
        <v>0</v>
      </c>
      <c r="I454" s="21">
        <v>0</v>
      </c>
      <c r="J454" s="21"/>
      <c r="K454" s="21">
        <v>0</v>
      </c>
      <c r="L454" s="21"/>
      <c r="M454" s="20">
        <v>0</v>
      </c>
      <c r="N454" s="20">
        <v>0</v>
      </c>
      <c r="O454" s="20">
        <v>0</v>
      </c>
      <c r="P454" s="22">
        <v>100</v>
      </c>
      <c r="Q454" s="22">
        <v>100</v>
      </c>
    </row>
    <row r="455" spans="1:17" ht="20.25" customHeight="1">
      <c r="A455" s="23"/>
      <c r="B455" s="24"/>
      <c r="C455" s="24"/>
      <c r="D455" s="24"/>
      <c r="E455" s="23"/>
      <c r="F455" s="23"/>
      <c r="G455" s="23"/>
      <c r="H455" s="23"/>
      <c r="I455" s="24"/>
      <c r="J455" s="24"/>
      <c r="K455" s="24"/>
      <c r="L455" s="24"/>
      <c r="M455" s="23"/>
      <c r="N455" s="23"/>
      <c r="O455" s="23"/>
      <c r="P455" s="23"/>
      <c r="Q455" s="23"/>
    </row>
    <row r="456" spans="1:17" ht="12.75" customHeight="1">
      <c r="A456" s="19" t="s">
        <v>317</v>
      </c>
      <c r="B456" s="19"/>
      <c r="C456" s="19"/>
      <c r="D456" s="19"/>
      <c r="E456" s="20">
        <f>SUM('DS1'!$A$102:$A$112)</f>
        <v>1022368.22</v>
      </c>
      <c r="F456" s="20">
        <v>-35687.049999999996</v>
      </c>
      <c r="G456" s="20">
        <v>986681.17</v>
      </c>
      <c r="H456" s="20">
        <v>765402.57</v>
      </c>
      <c r="I456" s="21">
        <v>765402.57</v>
      </c>
      <c r="J456" s="21"/>
      <c r="K456" s="21">
        <v>675332.76</v>
      </c>
      <c r="L456" s="21"/>
      <c r="M456" s="20">
        <v>675332.76</v>
      </c>
      <c r="N456" s="20">
        <v>621895.26</v>
      </c>
      <c r="O456" s="20">
        <v>221278.6</v>
      </c>
      <c r="P456" s="22">
        <v>22.42655547992266</v>
      </c>
      <c r="Q456" s="22">
        <v>68.44488174432274</v>
      </c>
    </row>
    <row r="457" spans="1:17" ht="12.75" customHeight="1">
      <c r="A457" s="23"/>
      <c r="B457" s="24"/>
      <c r="C457" s="24"/>
      <c r="D457" s="24"/>
      <c r="E457" s="23"/>
      <c r="F457" s="20">
        <v>71014.81</v>
      </c>
      <c r="G457" s="20">
        <v>0</v>
      </c>
      <c r="H457" s="20">
        <v>0</v>
      </c>
      <c r="I457" s="21">
        <v>90069.81000000003</v>
      </c>
      <c r="J457" s="21"/>
      <c r="K457" s="21">
        <v>0</v>
      </c>
      <c r="L457" s="21"/>
      <c r="M457" s="20">
        <v>53437.5</v>
      </c>
      <c r="N457" s="20">
        <v>0</v>
      </c>
      <c r="O457" s="20">
        <v>311348.41000000003</v>
      </c>
      <c r="P457" s="22">
        <v>77.57344452007733</v>
      </c>
      <c r="Q457" s="22">
        <v>92.08723415105761</v>
      </c>
    </row>
    <row r="458" spans="1:17" ht="18" customHeight="1">
      <c r="A458" s="23"/>
      <c r="B458" s="24"/>
      <c r="C458" s="24"/>
      <c r="D458" s="24"/>
      <c r="E458" s="23"/>
      <c r="F458" s="23"/>
      <c r="G458" s="23"/>
      <c r="H458" s="23"/>
      <c r="I458" s="24"/>
      <c r="J458" s="24"/>
      <c r="K458" s="24"/>
      <c r="L458" s="24"/>
      <c r="M458" s="23"/>
      <c r="N458" s="23"/>
      <c r="O458" s="23"/>
      <c r="P458" s="23"/>
      <c r="Q458" s="23"/>
    </row>
    <row r="459" spans="1:17" ht="12.75" customHeight="1">
      <c r="A459" s="10"/>
      <c r="B459" s="11" t="s">
        <v>318</v>
      </c>
      <c r="C459" s="11"/>
      <c r="D459" s="11"/>
      <c r="E459" s="12">
        <f>ROUND(9093.06,2)</f>
        <v>9093.06</v>
      </c>
      <c r="F459" s="12">
        <f>ROUND(81.84,2)</f>
        <v>81.84</v>
      </c>
      <c r="G459" s="12">
        <f>ROUND(9174.9,2)</f>
        <v>9174.9</v>
      </c>
      <c r="H459" s="12">
        <f aca="true" t="shared" si="244" ref="H459:H460">ROUND(0,2)</f>
        <v>0</v>
      </c>
      <c r="I459" s="13">
        <f aca="true" t="shared" si="245" ref="I459:I460">ROUND(0,2)</f>
        <v>0</v>
      </c>
      <c r="J459" s="13"/>
      <c r="K459" s="13">
        <f aca="true" t="shared" si="246" ref="K459:K460">ROUND(0,2)</f>
        <v>0</v>
      </c>
      <c r="L459" s="13"/>
      <c r="M459" s="12">
        <f aca="true" t="shared" si="247" ref="M459:M460">ROUND(0,2)</f>
        <v>0</v>
      </c>
      <c r="N459" s="12">
        <f aca="true" t="shared" si="248" ref="N459:N460">ROUND(0,2)</f>
        <v>0</v>
      </c>
      <c r="O459" s="12">
        <f aca="true" t="shared" si="249" ref="O459:O460">ROUND(9174.9,2)</f>
        <v>9174.9</v>
      </c>
      <c r="P459" s="14">
        <v>100</v>
      </c>
      <c r="Q459" s="14">
        <v>0</v>
      </c>
    </row>
    <row r="460" spans="1:17" ht="12.75" customHeight="1">
      <c r="A460" s="15" t="s">
        <v>319</v>
      </c>
      <c r="B460" s="15"/>
      <c r="C460" s="15"/>
      <c r="D460" s="15"/>
      <c r="E460" s="16" t="s">
        <v>41</v>
      </c>
      <c r="F460" s="17">
        <f>ROUND(0,2)</f>
        <v>0</v>
      </c>
      <c r="G460" s="17">
        <f>ROUND(0,2)</f>
        <v>0</v>
      </c>
      <c r="H460" s="17">
        <f t="shared" si="244"/>
        <v>0</v>
      </c>
      <c r="I460" s="17">
        <f t="shared" si="245"/>
        <v>0</v>
      </c>
      <c r="J460" s="17"/>
      <c r="K460" s="17">
        <f t="shared" si="246"/>
        <v>0</v>
      </c>
      <c r="L460" s="17"/>
      <c r="M460" s="17">
        <f t="shared" si="247"/>
        <v>0</v>
      </c>
      <c r="N460" s="17">
        <f t="shared" si="248"/>
        <v>0</v>
      </c>
      <c r="O460" s="17">
        <f t="shared" si="249"/>
        <v>9174.9</v>
      </c>
      <c r="P460" s="18">
        <v>0</v>
      </c>
      <c r="Q460" s="18">
        <v>0</v>
      </c>
    </row>
    <row r="461" spans="1:17" ht="12.75" customHeight="1">
      <c r="A461" s="19" t="s">
        <v>48</v>
      </c>
      <c r="B461" s="19"/>
      <c r="C461" s="19"/>
      <c r="D461" s="19"/>
      <c r="E461" s="20">
        <f>SUM('DS1'!$A$113)</f>
        <v>9093.06</v>
      </c>
      <c r="F461" s="20">
        <v>81.84</v>
      </c>
      <c r="G461" s="20">
        <v>9174.9</v>
      </c>
      <c r="H461" s="20">
        <v>0</v>
      </c>
      <c r="I461" s="21">
        <v>0</v>
      </c>
      <c r="J461" s="21"/>
      <c r="K461" s="21">
        <v>0</v>
      </c>
      <c r="L461" s="21"/>
      <c r="M461" s="20">
        <v>0</v>
      </c>
      <c r="N461" s="20">
        <v>0</v>
      </c>
      <c r="O461" s="20">
        <v>9174.9</v>
      </c>
      <c r="P461" s="22">
        <v>100</v>
      </c>
      <c r="Q461" s="22">
        <v>0</v>
      </c>
    </row>
    <row r="462" spans="1:17" ht="12.75" customHeight="1">
      <c r="A462" s="23"/>
      <c r="B462" s="24"/>
      <c r="C462" s="24"/>
      <c r="D462" s="24"/>
      <c r="E462" s="23"/>
      <c r="F462" s="20">
        <v>0</v>
      </c>
      <c r="G462" s="20">
        <v>0</v>
      </c>
      <c r="H462" s="20">
        <v>0</v>
      </c>
      <c r="I462" s="21">
        <v>0</v>
      </c>
      <c r="J462" s="21"/>
      <c r="K462" s="21">
        <v>0</v>
      </c>
      <c r="L462" s="21"/>
      <c r="M462" s="20">
        <v>0</v>
      </c>
      <c r="N462" s="20">
        <v>0</v>
      </c>
      <c r="O462" s="20">
        <v>9174.9</v>
      </c>
      <c r="P462" s="22">
        <v>0</v>
      </c>
      <c r="Q462" s="22">
        <v>0</v>
      </c>
    </row>
    <row r="463" spans="1:17" ht="20.25" customHeight="1">
      <c r="A463" s="23"/>
      <c r="B463" s="24"/>
      <c r="C463" s="24"/>
      <c r="D463" s="24"/>
      <c r="E463" s="23"/>
      <c r="F463" s="23"/>
      <c r="G463" s="23"/>
      <c r="H463" s="23"/>
      <c r="I463" s="24"/>
      <c r="J463" s="24"/>
      <c r="K463" s="24"/>
      <c r="L463" s="24"/>
      <c r="M463" s="23"/>
      <c r="N463" s="23"/>
      <c r="O463" s="23"/>
      <c r="P463" s="23"/>
      <c r="Q463" s="23"/>
    </row>
    <row r="464" spans="1:17" ht="12.75" customHeight="1">
      <c r="A464" s="10"/>
      <c r="B464" s="11" t="s">
        <v>320</v>
      </c>
      <c r="C464" s="11"/>
      <c r="D464" s="11"/>
      <c r="E464" s="12">
        <f>ROUND(1240.92,2)</f>
        <v>1240.92</v>
      </c>
      <c r="F464" s="12">
        <f>ROUND(11.17,2)</f>
        <v>11.17</v>
      </c>
      <c r="G464" s="12">
        <f>ROUND(1252.09,2)</f>
        <v>1252.09</v>
      </c>
      <c r="H464" s="12">
        <f aca="true" t="shared" si="250" ref="H464:H469">ROUND(0,2)</f>
        <v>0</v>
      </c>
      <c r="I464" s="13">
        <f aca="true" t="shared" si="251" ref="I464:I469">ROUND(0,2)</f>
        <v>0</v>
      </c>
      <c r="J464" s="13"/>
      <c r="K464" s="13">
        <f aca="true" t="shared" si="252" ref="K464:K469">ROUND(0,2)</f>
        <v>0</v>
      </c>
      <c r="L464" s="13"/>
      <c r="M464" s="12">
        <f aca="true" t="shared" si="253" ref="M464:M469">ROUND(0,2)</f>
        <v>0</v>
      </c>
      <c r="N464" s="12">
        <f aca="true" t="shared" si="254" ref="N464:N469">ROUND(0,2)</f>
        <v>0</v>
      </c>
      <c r="O464" s="12">
        <f aca="true" t="shared" si="255" ref="O464:O465">ROUND(1252.09,2)</f>
        <v>1252.09</v>
      </c>
      <c r="P464" s="14">
        <v>99.99999999999997</v>
      </c>
      <c r="Q464" s="14">
        <v>0</v>
      </c>
    </row>
    <row r="465" spans="1:17" ht="12.75" customHeight="1">
      <c r="A465" s="15" t="s">
        <v>321</v>
      </c>
      <c r="B465" s="15"/>
      <c r="C465" s="15"/>
      <c r="D465" s="15"/>
      <c r="E465" s="16" t="s">
        <v>41</v>
      </c>
      <c r="F465" s="17">
        <f>ROUND(0,2)</f>
        <v>0</v>
      </c>
      <c r="G465" s="17">
        <f>ROUND(0,2)</f>
        <v>0</v>
      </c>
      <c r="H465" s="17">
        <f t="shared" si="250"/>
        <v>0</v>
      </c>
      <c r="I465" s="17">
        <f t="shared" si="251"/>
        <v>0</v>
      </c>
      <c r="J465" s="17"/>
      <c r="K465" s="17">
        <f t="shared" si="252"/>
        <v>0</v>
      </c>
      <c r="L465" s="17"/>
      <c r="M465" s="17">
        <f t="shared" si="253"/>
        <v>0</v>
      </c>
      <c r="N465" s="17">
        <f t="shared" si="254"/>
        <v>0</v>
      </c>
      <c r="O465" s="17">
        <f t="shared" si="255"/>
        <v>1252.09</v>
      </c>
      <c r="P465" s="18">
        <v>0</v>
      </c>
      <c r="Q465" s="18">
        <v>0</v>
      </c>
    </row>
    <row r="466" spans="1:17" ht="12.75" customHeight="1">
      <c r="A466" s="10"/>
      <c r="B466" s="11" t="s">
        <v>322</v>
      </c>
      <c r="C466" s="11"/>
      <c r="D466" s="11"/>
      <c r="E466" s="12">
        <f>ROUND(5657.26,2)</f>
        <v>5657.26</v>
      </c>
      <c r="F466" s="12">
        <f>ROUND(50.92,2)</f>
        <v>50.92</v>
      </c>
      <c r="G466" s="12">
        <f>ROUND(5708.18,2)</f>
        <v>5708.18</v>
      </c>
      <c r="H466" s="12">
        <f t="shared" si="250"/>
        <v>0</v>
      </c>
      <c r="I466" s="13">
        <f t="shared" si="251"/>
        <v>0</v>
      </c>
      <c r="J466" s="13"/>
      <c r="K466" s="13">
        <f t="shared" si="252"/>
        <v>0</v>
      </c>
      <c r="L466" s="13"/>
      <c r="M466" s="12">
        <f t="shared" si="253"/>
        <v>0</v>
      </c>
      <c r="N466" s="12">
        <f t="shared" si="254"/>
        <v>0</v>
      </c>
      <c r="O466" s="12">
        <f aca="true" t="shared" si="256" ref="O466:O467">ROUND(5708.18,2)</f>
        <v>5708.18</v>
      </c>
      <c r="P466" s="14">
        <v>100</v>
      </c>
      <c r="Q466" s="14">
        <v>0</v>
      </c>
    </row>
    <row r="467" spans="1:17" ht="12.75" customHeight="1">
      <c r="A467" s="15" t="s">
        <v>323</v>
      </c>
      <c r="B467" s="15"/>
      <c r="C467" s="15"/>
      <c r="D467" s="15"/>
      <c r="E467" s="16" t="s">
        <v>41</v>
      </c>
      <c r="F467" s="17">
        <f>ROUND(0,2)</f>
        <v>0</v>
      </c>
      <c r="G467" s="17">
        <f>ROUND(0,2)</f>
        <v>0</v>
      </c>
      <c r="H467" s="17">
        <f t="shared" si="250"/>
        <v>0</v>
      </c>
      <c r="I467" s="17">
        <f t="shared" si="251"/>
        <v>0</v>
      </c>
      <c r="J467" s="17"/>
      <c r="K467" s="17">
        <f t="shared" si="252"/>
        <v>0</v>
      </c>
      <c r="L467" s="17"/>
      <c r="M467" s="17">
        <f t="shared" si="253"/>
        <v>0</v>
      </c>
      <c r="N467" s="17">
        <f t="shared" si="254"/>
        <v>0</v>
      </c>
      <c r="O467" s="17">
        <f t="shared" si="256"/>
        <v>5708.18</v>
      </c>
      <c r="P467" s="18">
        <v>0</v>
      </c>
      <c r="Q467" s="18">
        <v>0</v>
      </c>
    </row>
    <row r="468" spans="1:17" ht="12.75" customHeight="1">
      <c r="A468" s="10"/>
      <c r="B468" s="11" t="s">
        <v>324</v>
      </c>
      <c r="C468" s="11"/>
      <c r="D468" s="11"/>
      <c r="E468" s="12">
        <f>ROUND(12034.4,2)</f>
        <v>12034.4</v>
      </c>
      <c r="F468" s="12">
        <f>ROUND(108.31,2)</f>
        <v>108.31</v>
      </c>
      <c r="G468" s="12">
        <f>ROUND(12142.71,2)</f>
        <v>12142.71</v>
      </c>
      <c r="H468" s="12">
        <f t="shared" si="250"/>
        <v>0</v>
      </c>
      <c r="I468" s="13">
        <f t="shared" si="251"/>
        <v>0</v>
      </c>
      <c r="J468" s="13"/>
      <c r="K468" s="13">
        <f t="shared" si="252"/>
        <v>0</v>
      </c>
      <c r="L468" s="13"/>
      <c r="M468" s="12">
        <f t="shared" si="253"/>
        <v>0</v>
      </c>
      <c r="N468" s="12">
        <f t="shared" si="254"/>
        <v>0</v>
      </c>
      <c r="O468" s="12">
        <f aca="true" t="shared" si="257" ref="O468:O469">ROUND(12142.71,2)</f>
        <v>12142.71</v>
      </c>
      <c r="P468" s="14">
        <v>100</v>
      </c>
      <c r="Q468" s="14">
        <v>0</v>
      </c>
    </row>
    <row r="469" spans="1:17" ht="12.75" customHeight="1">
      <c r="A469" s="15" t="s">
        <v>325</v>
      </c>
      <c r="B469" s="15"/>
      <c r="C469" s="15"/>
      <c r="D469" s="15"/>
      <c r="E469" s="16" t="s">
        <v>41</v>
      </c>
      <c r="F469" s="17">
        <f>ROUND(0,2)</f>
        <v>0</v>
      </c>
      <c r="G469" s="17">
        <f>ROUND(0,2)</f>
        <v>0</v>
      </c>
      <c r="H469" s="17">
        <f t="shared" si="250"/>
        <v>0</v>
      </c>
      <c r="I469" s="17">
        <f t="shared" si="251"/>
        <v>0</v>
      </c>
      <c r="J469" s="17"/>
      <c r="K469" s="17">
        <f t="shared" si="252"/>
        <v>0</v>
      </c>
      <c r="L469" s="17"/>
      <c r="M469" s="17">
        <f t="shared" si="253"/>
        <v>0</v>
      </c>
      <c r="N469" s="17">
        <f t="shared" si="254"/>
        <v>0</v>
      </c>
      <c r="O469" s="17">
        <f t="shared" si="257"/>
        <v>12142.71</v>
      </c>
      <c r="P469" s="18">
        <v>0</v>
      </c>
      <c r="Q469" s="18">
        <v>0</v>
      </c>
    </row>
    <row r="470" spans="1:17" ht="12.75" customHeight="1">
      <c r="A470" s="19" t="s">
        <v>57</v>
      </c>
      <c r="B470" s="19"/>
      <c r="C470" s="19"/>
      <c r="D470" s="19"/>
      <c r="E470" s="20">
        <f>SUM('DS1'!$A$114:$A$116)</f>
        <v>18932.58</v>
      </c>
      <c r="F470" s="20">
        <v>170.4</v>
      </c>
      <c r="G470" s="20">
        <v>19102.98</v>
      </c>
      <c r="H470" s="20">
        <v>0</v>
      </c>
      <c r="I470" s="21">
        <v>0</v>
      </c>
      <c r="J470" s="21"/>
      <c r="K470" s="21">
        <v>0</v>
      </c>
      <c r="L470" s="21"/>
      <c r="M470" s="20">
        <v>0</v>
      </c>
      <c r="N470" s="20">
        <v>0</v>
      </c>
      <c r="O470" s="20">
        <v>19102.98</v>
      </c>
      <c r="P470" s="22">
        <v>100</v>
      </c>
      <c r="Q470" s="22">
        <v>0</v>
      </c>
    </row>
    <row r="471" spans="1:17" ht="12.75" customHeight="1">
      <c r="A471" s="23"/>
      <c r="B471" s="24"/>
      <c r="C471" s="24"/>
      <c r="D471" s="24"/>
      <c r="E471" s="23"/>
      <c r="F471" s="20">
        <v>0</v>
      </c>
      <c r="G471" s="20">
        <v>0</v>
      </c>
      <c r="H471" s="20">
        <v>0</v>
      </c>
      <c r="I471" s="21">
        <v>0</v>
      </c>
      <c r="J471" s="21"/>
      <c r="K471" s="21">
        <v>0</v>
      </c>
      <c r="L471" s="21"/>
      <c r="M471" s="20">
        <v>0</v>
      </c>
      <c r="N471" s="20">
        <v>0</v>
      </c>
      <c r="O471" s="20">
        <v>19102.98</v>
      </c>
      <c r="P471" s="22">
        <v>0</v>
      </c>
      <c r="Q471" s="22">
        <v>0</v>
      </c>
    </row>
    <row r="472" spans="1:17" ht="20.25" customHeight="1">
      <c r="A472" s="23"/>
      <c r="B472" s="24"/>
      <c r="C472" s="24"/>
      <c r="D472" s="24"/>
      <c r="E472" s="23"/>
      <c r="F472" s="23"/>
      <c r="G472" s="23"/>
      <c r="H472" s="23"/>
      <c r="I472" s="24"/>
      <c r="J472" s="24"/>
      <c r="K472" s="24"/>
      <c r="L472" s="24"/>
      <c r="M472" s="23"/>
      <c r="N472" s="23"/>
      <c r="O472" s="23"/>
      <c r="P472" s="23"/>
      <c r="Q472" s="23"/>
    </row>
    <row r="473" spans="1:17" ht="12.75" customHeight="1">
      <c r="A473" s="10"/>
      <c r="B473" s="11" t="s">
        <v>326</v>
      </c>
      <c r="C473" s="11"/>
      <c r="D473" s="11"/>
      <c r="E473" s="12">
        <f>ROUND(36967.56,2)</f>
        <v>36967.56</v>
      </c>
      <c r="F473" s="12">
        <f>ROUND(332.71,2)</f>
        <v>332.71</v>
      </c>
      <c r="G473" s="12">
        <f>ROUND(37300.27,2)</f>
        <v>37300.27</v>
      </c>
      <c r="H473" s="12">
        <f>ROUND(25901.75,2)</f>
        <v>25901.75</v>
      </c>
      <c r="I473" s="13">
        <f>ROUND(25901.75,2)</f>
        <v>25901.75</v>
      </c>
      <c r="J473" s="13"/>
      <c r="K473" s="13">
        <f>ROUND(25901.75,2)</f>
        <v>25901.75</v>
      </c>
      <c r="L473" s="13"/>
      <c r="M473" s="12">
        <f>ROUND(25901.75,2)</f>
        <v>25901.75</v>
      </c>
      <c r="N473" s="12">
        <f>ROUND(25901.75,2)</f>
        <v>25901.75</v>
      </c>
      <c r="O473" s="12">
        <f>ROUND(11398.52,2)</f>
        <v>11398.52</v>
      </c>
      <c r="P473" s="14">
        <v>30.5588136493382</v>
      </c>
      <c r="Q473" s="14">
        <v>69.44118635066181</v>
      </c>
    </row>
    <row r="474" spans="1:17" ht="12.75" customHeight="1">
      <c r="A474" s="15" t="s">
        <v>327</v>
      </c>
      <c r="B474" s="15"/>
      <c r="C474" s="15"/>
      <c r="D474" s="15"/>
      <c r="E474" s="16" t="s">
        <v>41</v>
      </c>
      <c r="F474" s="17">
        <f>ROUND(0,2)</f>
        <v>0</v>
      </c>
      <c r="G474" s="17">
        <f>ROUND(0,2)</f>
        <v>0</v>
      </c>
      <c r="H474" s="17">
        <f>ROUND(0,2)</f>
        <v>0</v>
      </c>
      <c r="I474" s="17">
        <f>ROUND(0,2)</f>
        <v>0</v>
      </c>
      <c r="J474" s="17"/>
      <c r="K474" s="17">
        <f>ROUND(0,2)</f>
        <v>0</v>
      </c>
      <c r="L474" s="17"/>
      <c r="M474" s="17">
        <f>ROUND(0,2)</f>
        <v>0</v>
      </c>
      <c r="N474" s="17">
        <f>ROUND(0,2)</f>
        <v>0</v>
      </c>
      <c r="O474" s="17">
        <f>ROUND(11398.52,2)</f>
        <v>11398.52</v>
      </c>
      <c r="P474" s="18">
        <v>69.44118635066181</v>
      </c>
      <c r="Q474" s="18">
        <v>100</v>
      </c>
    </row>
    <row r="475" spans="1:17" ht="12.75" customHeight="1">
      <c r="A475" s="19" t="s">
        <v>60</v>
      </c>
      <c r="B475" s="19"/>
      <c r="C475" s="19"/>
      <c r="D475" s="19"/>
      <c r="E475" s="20">
        <f>SUM('DS1'!$A$117)</f>
        <v>36967.56</v>
      </c>
      <c r="F475" s="20">
        <v>332.71</v>
      </c>
      <c r="G475" s="20">
        <v>37300.27</v>
      </c>
      <c r="H475" s="20">
        <v>25901.75</v>
      </c>
      <c r="I475" s="21">
        <v>25901.75</v>
      </c>
      <c r="J475" s="21"/>
      <c r="K475" s="21">
        <v>25901.75</v>
      </c>
      <c r="L475" s="21"/>
      <c r="M475" s="20">
        <v>25901.75</v>
      </c>
      <c r="N475" s="20">
        <v>25901.75</v>
      </c>
      <c r="O475" s="20">
        <v>11398.52</v>
      </c>
      <c r="P475" s="22">
        <v>30.5588136493382</v>
      </c>
      <c r="Q475" s="22">
        <v>69.44118635066181</v>
      </c>
    </row>
    <row r="476" spans="1:17" ht="12.75" customHeight="1">
      <c r="A476" s="23"/>
      <c r="B476" s="24"/>
      <c r="C476" s="24"/>
      <c r="D476" s="24"/>
      <c r="E476" s="23"/>
      <c r="F476" s="20">
        <v>0</v>
      </c>
      <c r="G476" s="20">
        <v>0</v>
      </c>
      <c r="H476" s="20">
        <v>0</v>
      </c>
      <c r="I476" s="21">
        <v>0</v>
      </c>
      <c r="J476" s="21"/>
      <c r="K476" s="21">
        <v>0</v>
      </c>
      <c r="L476" s="21"/>
      <c r="M476" s="20">
        <v>0</v>
      </c>
      <c r="N476" s="20">
        <v>0</v>
      </c>
      <c r="O476" s="20">
        <v>11398.519999999997</v>
      </c>
      <c r="P476" s="22">
        <v>69.44118635066181</v>
      </c>
      <c r="Q476" s="22">
        <v>100</v>
      </c>
    </row>
    <row r="477" spans="1:17" ht="20.25" customHeight="1">
      <c r="A477" s="23"/>
      <c r="B477" s="24"/>
      <c r="C477" s="24"/>
      <c r="D477" s="24"/>
      <c r="E477" s="23"/>
      <c r="F477" s="23"/>
      <c r="G477" s="23"/>
      <c r="H477" s="23"/>
      <c r="I477" s="24"/>
      <c r="J477" s="24"/>
      <c r="K477" s="24"/>
      <c r="L477" s="24"/>
      <c r="M477" s="23"/>
      <c r="N477" s="23"/>
      <c r="O477" s="23"/>
      <c r="P477" s="23"/>
      <c r="Q477" s="23"/>
    </row>
    <row r="478" spans="1:17" ht="12.75" customHeight="1">
      <c r="A478" s="10"/>
      <c r="B478" s="11" t="s">
        <v>328</v>
      </c>
      <c r="C478" s="11"/>
      <c r="D478" s="11"/>
      <c r="E478" s="12">
        <f>ROUND(14773.08,2)</f>
        <v>14773.08</v>
      </c>
      <c r="F478" s="12">
        <f>ROUND(132.96,2)</f>
        <v>132.96</v>
      </c>
      <c r="G478" s="12">
        <f>ROUND(14906.04,2)</f>
        <v>14906.04</v>
      </c>
      <c r="H478" s="12">
        <f>ROUND(11101.12,2)</f>
        <v>11101.12</v>
      </c>
      <c r="I478" s="13">
        <f>ROUND(11101.12,2)</f>
        <v>11101.12</v>
      </c>
      <c r="J478" s="13"/>
      <c r="K478" s="13">
        <f>ROUND(11101.12,2)</f>
        <v>11101.12</v>
      </c>
      <c r="L478" s="13"/>
      <c r="M478" s="12">
        <f>ROUND(11101.12,2)</f>
        <v>11101.12</v>
      </c>
      <c r="N478" s="12">
        <f>ROUND(11101.12,2)</f>
        <v>11101.12</v>
      </c>
      <c r="O478" s="12">
        <f>ROUND(3804.92,2)</f>
        <v>3804.92</v>
      </c>
      <c r="P478" s="14">
        <v>25.526028375074805</v>
      </c>
      <c r="Q478" s="14">
        <v>74.47397162492521</v>
      </c>
    </row>
    <row r="479" spans="1:17" ht="12.75" customHeight="1">
      <c r="A479" s="15" t="s">
        <v>329</v>
      </c>
      <c r="B479" s="15"/>
      <c r="C479" s="15"/>
      <c r="D479" s="15"/>
      <c r="E479" s="16" t="s">
        <v>41</v>
      </c>
      <c r="F479" s="17">
        <f>ROUND(0,2)</f>
        <v>0</v>
      </c>
      <c r="G479" s="17">
        <f>ROUND(0,2)</f>
        <v>0</v>
      </c>
      <c r="H479" s="17">
        <f aca="true" t="shared" si="258" ref="H479:H481">ROUND(0,2)</f>
        <v>0</v>
      </c>
      <c r="I479" s="17">
        <f aca="true" t="shared" si="259" ref="I479:I481">ROUND(0,2)</f>
        <v>0</v>
      </c>
      <c r="J479" s="17"/>
      <c r="K479" s="17">
        <f aca="true" t="shared" si="260" ref="K479:K481">ROUND(0,2)</f>
        <v>0</v>
      </c>
      <c r="L479" s="17"/>
      <c r="M479" s="17">
        <f aca="true" t="shared" si="261" ref="M479:M481">ROUND(0,2)</f>
        <v>0</v>
      </c>
      <c r="N479" s="17">
        <f aca="true" t="shared" si="262" ref="N479:N481">ROUND(0,2)</f>
        <v>0</v>
      </c>
      <c r="O479" s="17">
        <f>ROUND(3804.92,2)</f>
        <v>3804.92</v>
      </c>
      <c r="P479" s="18">
        <v>74.47397162492521</v>
      </c>
      <c r="Q479" s="18">
        <v>100</v>
      </c>
    </row>
    <row r="480" spans="1:17" ht="12.75" customHeight="1">
      <c r="A480" s="10"/>
      <c r="B480" s="11" t="s">
        <v>330</v>
      </c>
      <c r="C480" s="11"/>
      <c r="D480" s="11"/>
      <c r="E480" s="12">
        <f>ROUND(9248.46,2)</f>
        <v>9248.46</v>
      </c>
      <c r="F480" s="12">
        <f>ROUND(83.24,2)</f>
        <v>83.24</v>
      </c>
      <c r="G480" s="12">
        <f>ROUND(9331.7,2)</f>
        <v>9331.7</v>
      </c>
      <c r="H480" s="12">
        <f t="shared" si="258"/>
        <v>0</v>
      </c>
      <c r="I480" s="13">
        <f t="shared" si="259"/>
        <v>0</v>
      </c>
      <c r="J480" s="13"/>
      <c r="K480" s="13">
        <f t="shared" si="260"/>
        <v>0</v>
      </c>
      <c r="L480" s="13"/>
      <c r="M480" s="12">
        <f t="shared" si="261"/>
        <v>0</v>
      </c>
      <c r="N480" s="12">
        <f t="shared" si="262"/>
        <v>0</v>
      </c>
      <c r="O480" s="12">
        <f aca="true" t="shared" si="263" ref="O480:O481">ROUND(9331.7,2)</f>
        <v>9331.7</v>
      </c>
      <c r="P480" s="14">
        <v>100.00000000000003</v>
      </c>
      <c r="Q480" s="14">
        <v>0</v>
      </c>
    </row>
    <row r="481" spans="1:17" ht="12.75" customHeight="1">
      <c r="A481" s="15" t="s">
        <v>331</v>
      </c>
      <c r="B481" s="15"/>
      <c r="C481" s="15"/>
      <c r="D481" s="15"/>
      <c r="E481" s="16" t="s">
        <v>41</v>
      </c>
      <c r="F481" s="17">
        <f>ROUND(0,2)</f>
        <v>0</v>
      </c>
      <c r="G481" s="17">
        <f>ROUND(0,2)</f>
        <v>0</v>
      </c>
      <c r="H481" s="17">
        <f t="shared" si="258"/>
        <v>0</v>
      </c>
      <c r="I481" s="17">
        <f t="shared" si="259"/>
        <v>0</v>
      </c>
      <c r="J481" s="17"/>
      <c r="K481" s="17">
        <f t="shared" si="260"/>
        <v>0</v>
      </c>
      <c r="L481" s="17"/>
      <c r="M481" s="17">
        <f t="shared" si="261"/>
        <v>0</v>
      </c>
      <c r="N481" s="17">
        <f t="shared" si="262"/>
        <v>0</v>
      </c>
      <c r="O481" s="17">
        <f t="shared" si="263"/>
        <v>9331.7</v>
      </c>
      <c r="P481" s="18">
        <v>0</v>
      </c>
      <c r="Q481" s="18">
        <v>0</v>
      </c>
    </row>
    <row r="482" spans="1:17" ht="12.75" customHeight="1">
      <c r="A482" s="19" t="s">
        <v>68</v>
      </c>
      <c r="B482" s="19"/>
      <c r="C482" s="19"/>
      <c r="D482" s="19"/>
      <c r="E482" s="20">
        <f>SUM('DS1'!$A$118:$A$119)</f>
        <v>24021.54</v>
      </c>
      <c r="F482" s="20">
        <v>216.2</v>
      </c>
      <c r="G482" s="20">
        <v>24237.74</v>
      </c>
      <c r="H482" s="20">
        <v>11101.12</v>
      </c>
      <c r="I482" s="21">
        <v>11101.12</v>
      </c>
      <c r="J482" s="21"/>
      <c r="K482" s="21">
        <v>11101.12</v>
      </c>
      <c r="L482" s="21"/>
      <c r="M482" s="20">
        <v>11101.12</v>
      </c>
      <c r="N482" s="20">
        <v>11101.12</v>
      </c>
      <c r="O482" s="20">
        <v>13136.62</v>
      </c>
      <c r="P482" s="22">
        <v>54.19903010759255</v>
      </c>
      <c r="Q482" s="22">
        <v>45.800969892407466</v>
      </c>
    </row>
    <row r="483" spans="1:17" ht="12.75" customHeight="1">
      <c r="A483" s="23"/>
      <c r="B483" s="24"/>
      <c r="C483" s="24"/>
      <c r="D483" s="24"/>
      <c r="E483" s="23"/>
      <c r="F483" s="20">
        <v>0</v>
      </c>
      <c r="G483" s="20">
        <v>0</v>
      </c>
      <c r="H483" s="20">
        <v>0</v>
      </c>
      <c r="I483" s="21">
        <v>0</v>
      </c>
      <c r="J483" s="21"/>
      <c r="K483" s="21">
        <v>0</v>
      </c>
      <c r="L483" s="21"/>
      <c r="M483" s="20">
        <v>0</v>
      </c>
      <c r="N483" s="20">
        <v>0</v>
      </c>
      <c r="O483" s="20">
        <v>13136.619999999997</v>
      </c>
      <c r="P483" s="22">
        <v>45.800969892407466</v>
      </c>
      <c r="Q483" s="22">
        <v>100</v>
      </c>
    </row>
    <row r="484" spans="1:17" ht="20.25" customHeight="1">
      <c r="A484" s="23"/>
      <c r="B484" s="24"/>
      <c r="C484" s="24"/>
      <c r="D484" s="24"/>
      <c r="E484" s="23"/>
      <c r="F484" s="23"/>
      <c r="G484" s="23"/>
      <c r="H484" s="23"/>
      <c r="I484" s="24"/>
      <c r="J484" s="24"/>
      <c r="K484" s="24"/>
      <c r="L484" s="24"/>
      <c r="M484" s="23"/>
      <c r="N484" s="23"/>
      <c r="O484" s="23"/>
      <c r="P484" s="23"/>
      <c r="Q484" s="23"/>
    </row>
    <row r="485" spans="1:17" ht="12.75" customHeight="1">
      <c r="A485" s="10"/>
      <c r="B485" s="11" t="s">
        <v>332</v>
      </c>
      <c r="C485" s="11"/>
      <c r="D485" s="11"/>
      <c r="E485" s="12">
        <f>ROUND(500,2)</f>
        <v>500</v>
      </c>
      <c r="F485" s="12">
        <f aca="true" t="shared" si="264" ref="F485:F486">ROUND(0,2)</f>
        <v>0</v>
      </c>
      <c r="G485" s="12">
        <f>ROUND(500,2)</f>
        <v>500</v>
      </c>
      <c r="H485" s="12">
        <f>ROUND(265.36,2)</f>
        <v>265.36</v>
      </c>
      <c r="I485" s="13">
        <f>ROUND(265.36,2)</f>
        <v>265.36</v>
      </c>
      <c r="J485" s="13"/>
      <c r="K485" s="13">
        <f>ROUND(265.36,2)</f>
        <v>265.36</v>
      </c>
      <c r="L485" s="13"/>
      <c r="M485" s="12">
        <f>ROUND(265.36,2)</f>
        <v>265.36</v>
      </c>
      <c r="N485" s="12">
        <f>ROUND(265.36,2)</f>
        <v>265.36</v>
      </c>
      <c r="O485" s="12">
        <f aca="true" t="shared" si="265" ref="O485:O486">ROUND(234.64,2)</f>
        <v>234.64</v>
      </c>
      <c r="P485" s="14">
        <v>46.928</v>
      </c>
      <c r="Q485" s="14">
        <v>53.07200000000001</v>
      </c>
    </row>
    <row r="486" spans="1:17" ht="12.75" customHeight="1">
      <c r="A486" s="15" t="s">
        <v>333</v>
      </c>
      <c r="B486" s="15"/>
      <c r="C486" s="15"/>
      <c r="D486" s="15"/>
      <c r="E486" s="16" t="s">
        <v>334</v>
      </c>
      <c r="F486" s="17">
        <f t="shared" si="264"/>
        <v>0</v>
      </c>
      <c r="G486" s="17">
        <f>ROUND(0,2)</f>
        <v>0</v>
      </c>
      <c r="H486" s="17">
        <f>ROUND(0,2)</f>
        <v>0</v>
      </c>
      <c r="I486" s="17">
        <f>ROUND(0,2)</f>
        <v>0</v>
      </c>
      <c r="J486" s="17"/>
      <c r="K486" s="17">
        <f>ROUND(0,2)</f>
        <v>0</v>
      </c>
      <c r="L486" s="17"/>
      <c r="M486" s="17">
        <f>ROUND(0,2)</f>
        <v>0</v>
      </c>
      <c r="N486" s="17">
        <f>ROUND(0,2)</f>
        <v>0</v>
      </c>
      <c r="O486" s="17">
        <f t="shared" si="265"/>
        <v>234.64</v>
      </c>
      <c r="P486" s="18">
        <v>53.07200000000001</v>
      </c>
      <c r="Q486" s="18">
        <v>100</v>
      </c>
    </row>
    <row r="487" spans="1:17" ht="12.75" customHeight="1">
      <c r="A487" s="19" t="s">
        <v>76</v>
      </c>
      <c r="B487" s="19"/>
      <c r="C487" s="19"/>
      <c r="D487" s="19"/>
      <c r="E487" s="20">
        <f>SUM('DS1'!$A$120)</f>
        <v>500</v>
      </c>
      <c r="F487" s="20">
        <v>0</v>
      </c>
      <c r="G487" s="20">
        <v>500</v>
      </c>
      <c r="H487" s="20">
        <v>265.36</v>
      </c>
      <c r="I487" s="21">
        <v>265.36</v>
      </c>
      <c r="J487" s="21"/>
      <c r="K487" s="21">
        <v>265.36</v>
      </c>
      <c r="L487" s="21"/>
      <c r="M487" s="20">
        <v>265.36</v>
      </c>
      <c r="N487" s="20">
        <v>265.36</v>
      </c>
      <c r="O487" s="20">
        <v>234.64</v>
      </c>
      <c r="P487" s="22">
        <v>46.928</v>
      </c>
      <c r="Q487" s="22">
        <v>53.07200000000001</v>
      </c>
    </row>
    <row r="488" spans="1:17" ht="12.75" customHeight="1">
      <c r="A488" s="23"/>
      <c r="B488" s="24"/>
      <c r="C488" s="24"/>
      <c r="D488" s="24"/>
      <c r="E488" s="23"/>
      <c r="F488" s="20">
        <v>0</v>
      </c>
      <c r="G488" s="20">
        <v>0</v>
      </c>
      <c r="H488" s="20">
        <v>0</v>
      </c>
      <c r="I488" s="21">
        <v>0</v>
      </c>
      <c r="J488" s="21"/>
      <c r="K488" s="21">
        <v>0</v>
      </c>
      <c r="L488" s="21"/>
      <c r="M488" s="20">
        <v>0</v>
      </c>
      <c r="N488" s="20">
        <v>0</v>
      </c>
      <c r="O488" s="20">
        <v>234.64</v>
      </c>
      <c r="P488" s="22">
        <v>53.07200000000001</v>
      </c>
      <c r="Q488" s="22">
        <v>100</v>
      </c>
    </row>
    <row r="489" spans="1:17" ht="20.25" customHeight="1">
      <c r="A489" s="23"/>
      <c r="B489" s="24"/>
      <c r="C489" s="24"/>
      <c r="D489" s="24"/>
      <c r="E489" s="23"/>
      <c r="F489" s="23"/>
      <c r="G489" s="23"/>
      <c r="H489" s="23"/>
      <c r="I489" s="24"/>
      <c r="J489" s="24"/>
      <c r="K489" s="24"/>
      <c r="L489" s="24"/>
      <c r="M489" s="23"/>
      <c r="N489" s="23"/>
      <c r="O489" s="23"/>
      <c r="P489" s="23"/>
      <c r="Q489" s="23"/>
    </row>
    <row r="490" spans="1:17" ht="12.75" customHeight="1">
      <c r="A490" s="10"/>
      <c r="B490" s="11" t="s">
        <v>335</v>
      </c>
      <c r="C490" s="11"/>
      <c r="D490" s="11"/>
      <c r="E490" s="12">
        <f>ROUND(20000,2)</f>
        <v>20000</v>
      </c>
      <c r="F490" s="12">
        <f>ROUND(-12000,2)</f>
        <v>-12000</v>
      </c>
      <c r="G490" s="12">
        <f>ROUND(8000,2)</f>
        <v>8000</v>
      </c>
      <c r="H490" s="12">
        <f>ROUND(4868.5,2)</f>
        <v>4868.5</v>
      </c>
      <c r="I490" s="13">
        <f aca="true" t="shared" si="266" ref="I490:I491">ROUND(4868.5,2)</f>
        <v>4868.5</v>
      </c>
      <c r="J490" s="13"/>
      <c r="K490" s="13">
        <f aca="true" t="shared" si="267" ref="K490:K491">ROUND(0,2)</f>
        <v>0</v>
      </c>
      <c r="L490" s="13"/>
      <c r="M490" s="12">
        <f aca="true" t="shared" si="268" ref="M490:M491">ROUND(0,2)</f>
        <v>0</v>
      </c>
      <c r="N490" s="12">
        <f aca="true" t="shared" si="269" ref="N490:N491">ROUND(0,2)</f>
        <v>0</v>
      </c>
      <c r="O490" s="12">
        <f>ROUND(3131.5,2)</f>
        <v>3131.5</v>
      </c>
      <c r="P490" s="14">
        <v>39.14375</v>
      </c>
      <c r="Q490" s="14">
        <v>0</v>
      </c>
    </row>
    <row r="491" spans="1:17" ht="12.75" customHeight="1">
      <c r="A491" s="15" t="s">
        <v>336</v>
      </c>
      <c r="B491" s="15"/>
      <c r="C491" s="15"/>
      <c r="D491" s="15"/>
      <c r="E491" s="16" t="s">
        <v>337</v>
      </c>
      <c r="F491" s="17">
        <f>ROUND(0,2)</f>
        <v>0</v>
      </c>
      <c r="G491" s="17">
        <f>ROUND(0,2)</f>
        <v>0</v>
      </c>
      <c r="H491" s="17">
        <f>ROUND(0,2)</f>
        <v>0</v>
      </c>
      <c r="I491" s="17">
        <f t="shared" si="266"/>
        <v>4868.5</v>
      </c>
      <c r="J491" s="17"/>
      <c r="K491" s="17">
        <f t="shared" si="267"/>
        <v>0</v>
      </c>
      <c r="L491" s="17"/>
      <c r="M491" s="17">
        <f t="shared" si="268"/>
        <v>0</v>
      </c>
      <c r="N491" s="17">
        <f t="shared" si="269"/>
        <v>0</v>
      </c>
      <c r="O491" s="17">
        <f>ROUND(8000,2)</f>
        <v>8000</v>
      </c>
      <c r="P491" s="18">
        <v>24.3425</v>
      </c>
      <c r="Q491" s="18">
        <v>0</v>
      </c>
    </row>
    <row r="492" spans="1:17" ht="12.75" customHeight="1">
      <c r="A492" s="19" t="s">
        <v>37</v>
      </c>
      <c r="B492" s="19"/>
      <c r="C492" s="19"/>
      <c r="D492" s="19"/>
      <c r="E492" s="20">
        <f>SUM('DS1'!$A$121)</f>
        <v>20000</v>
      </c>
      <c r="F492" s="20">
        <v>-12000</v>
      </c>
      <c r="G492" s="20">
        <v>8000</v>
      </c>
      <c r="H492" s="20">
        <v>4868.5</v>
      </c>
      <c r="I492" s="21">
        <v>4868.5</v>
      </c>
      <c r="J492" s="21"/>
      <c r="K492" s="21">
        <v>0</v>
      </c>
      <c r="L492" s="21"/>
      <c r="M492" s="20">
        <v>0</v>
      </c>
      <c r="N492" s="20">
        <v>0</v>
      </c>
      <c r="O492" s="20">
        <v>3131.5</v>
      </c>
      <c r="P492" s="22">
        <v>39.14375</v>
      </c>
      <c r="Q492" s="22">
        <v>0</v>
      </c>
    </row>
    <row r="493" spans="1:17" ht="12.75" customHeight="1">
      <c r="A493" s="23"/>
      <c r="B493" s="24"/>
      <c r="C493" s="24"/>
      <c r="D493" s="24"/>
      <c r="E493" s="23"/>
      <c r="F493" s="20">
        <v>0</v>
      </c>
      <c r="G493" s="20">
        <v>0</v>
      </c>
      <c r="H493" s="20">
        <v>0</v>
      </c>
      <c r="I493" s="21">
        <v>4868.5</v>
      </c>
      <c r="J493" s="21"/>
      <c r="K493" s="21">
        <v>0</v>
      </c>
      <c r="L493" s="21"/>
      <c r="M493" s="20">
        <v>0</v>
      </c>
      <c r="N493" s="20">
        <v>0</v>
      </c>
      <c r="O493" s="20">
        <v>8000</v>
      </c>
      <c r="P493" s="22">
        <v>60.85625</v>
      </c>
      <c r="Q493" s="22">
        <v>0</v>
      </c>
    </row>
    <row r="494" spans="1:17" ht="20.25" customHeight="1">
      <c r="A494" s="23"/>
      <c r="B494" s="24"/>
      <c r="C494" s="24"/>
      <c r="D494" s="24"/>
      <c r="E494" s="23"/>
      <c r="F494" s="23"/>
      <c r="G494" s="23"/>
      <c r="H494" s="23"/>
      <c r="I494" s="24"/>
      <c r="J494" s="24"/>
      <c r="K494" s="24"/>
      <c r="L494" s="24"/>
      <c r="M494" s="23"/>
      <c r="N494" s="23"/>
      <c r="O494" s="23"/>
      <c r="P494" s="23"/>
      <c r="Q494" s="23"/>
    </row>
    <row r="495" spans="1:17" ht="12.75" customHeight="1">
      <c r="A495" s="19" t="s">
        <v>338</v>
      </c>
      <c r="B495" s="19"/>
      <c r="C495" s="19"/>
      <c r="D495" s="19"/>
      <c r="E495" s="20">
        <f>SUM('DS1'!$A$113:$A$121)</f>
        <v>109514.73999999999</v>
      </c>
      <c r="F495" s="20">
        <v>-11198.85</v>
      </c>
      <c r="G495" s="20">
        <v>98315.88999999998</v>
      </c>
      <c r="H495" s="20">
        <v>42136.73</v>
      </c>
      <c r="I495" s="21">
        <v>42136.73</v>
      </c>
      <c r="J495" s="21"/>
      <c r="K495" s="21">
        <v>37268.23</v>
      </c>
      <c r="L495" s="21"/>
      <c r="M495" s="20">
        <v>37268.23</v>
      </c>
      <c r="N495" s="20">
        <v>37268.23</v>
      </c>
      <c r="O495" s="20">
        <v>56179.16</v>
      </c>
      <c r="P495" s="22">
        <v>57.14148547096508</v>
      </c>
      <c r="Q495" s="22">
        <v>37.9066191640029</v>
      </c>
    </row>
    <row r="496" spans="1:17" ht="12.75" customHeight="1">
      <c r="A496" s="23"/>
      <c r="B496" s="24"/>
      <c r="C496" s="24"/>
      <c r="D496" s="24"/>
      <c r="E496" s="23"/>
      <c r="F496" s="20">
        <v>0</v>
      </c>
      <c r="G496" s="20">
        <v>0</v>
      </c>
      <c r="H496" s="20">
        <v>0</v>
      </c>
      <c r="I496" s="21">
        <v>4868.5</v>
      </c>
      <c r="J496" s="21"/>
      <c r="K496" s="21">
        <v>0</v>
      </c>
      <c r="L496" s="21"/>
      <c r="M496" s="20">
        <v>0</v>
      </c>
      <c r="N496" s="20">
        <v>0</v>
      </c>
      <c r="O496" s="20">
        <v>61047.65999999999</v>
      </c>
      <c r="P496" s="22">
        <v>42.85851452903494</v>
      </c>
      <c r="Q496" s="22">
        <v>100</v>
      </c>
    </row>
    <row r="497" spans="1:17" ht="18" customHeight="1">
      <c r="A497" s="23"/>
      <c r="B497" s="24"/>
      <c r="C497" s="24"/>
      <c r="D497" s="24"/>
      <c r="E497" s="23"/>
      <c r="F497" s="23"/>
      <c r="G497" s="23"/>
      <c r="H497" s="23"/>
      <c r="I497" s="24"/>
      <c r="J497" s="24"/>
      <c r="K497" s="24"/>
      <c r="L497" s="24"/>
      <c r="M497" s="23"/>
      <c r="N497" s="23"/>
      <c r="O497" s="23"/>
      <c r="P497" s="23"/>
      <c r="Q497" s="23"/>
    </row>
    <row r="498" spans="1:17" ht="12.75" customHeight="1">
      <c r="A498" s="10"/>
      <c r="B498" s="11" t="s">
        <v>339</v>
      </c>
      <c r="C498" s="11"/>
      <c r="D498" s="11"/>
      <c r="E498" s="12">
        <f>ROUND(12000,2)</f>
        <v>12000</v>
      </c>
      <c r="F498" s="12">
        <f>ROUND(-11226.6,2)</f>
        <v>-11226.6</v>
      </c>
      <c r="G498" s="12">
        <f>ROUND(773.4,2)</f>
        <v>773.4</v>
      </c>
      <c r="H498" s="12">
        <f aca="true" t="shared" si="270" ref="H498:H499">ROUND(0,2)</f>
        <v>0</v>
      </c>
      <c r="I498" s="13">
        <f aca="true" t="shared" si="271" ref="I498:I499">ROUND(0,2)</f>
        <v>0</v>
      </c>
      <c r="J498" s="13"/>
      <c r="K498" s="13">
        <f aca="true" t="shared" si="272" ref="K498:K499">ROUND(0,2)</f>
        <v>0</v>
      </c>
      <c r="L498" s="13"/>
      <c r="M498" s="12">
        <f aca="true" t="shared" si="273" ref="M498:M499">ROUND(0,2)</f>
        <v>0</v>
      </c>
      <c r="N498" s="12">
        <f aca="true" t="shared" si="274" ref="N498:N499">ROUND(0,2)</f>
        <v>0</v>
      </c>
      <c r="O498" s="12">
        <f>ROUND(773.4,2)</f>
        <v>773.4</v>
      </c>
      <c r="P498" s="14">
        <v>100.00000000000004</v>
      </c>
      <c r="Q498" s="14">
        <v>0</v>
      </c>
    </row>
    <row r="499" spans="1:17" ht="12.75" customHeight="1">
      <c r="A499" s="15" t="s">
        <v>340</v>
      </c>
      <c r="B499" s="15"/>
      <c r="C499" s="15"/>
      <c r="D499" s="15"/>
      <c r="E499" s="16" t="s">
        <v>334</v>
      </c>
      <c r="F499" s="17">
        <f>ROUND(0,2)</f>
        <v>0</v>
      </c>
      <c r="G499" s="17">
        <f>ROUND(0,2)</f>
        <v>0</v>
      </c>
      <c r="H499" s="17">
        <f t="shared" si="270"/>
        <v>0</v>
      </c>
      <c r="I499" s="17">
        <f t="shared" si="271"/>
        <v>0</v>
      </c>
      <c r="J499" s="17"/>
      <c r="K499" s="17">
        <f t="shared" si="272"/>
        <v>0</v>
      </c>
      <c r="L499" s="17"/>
      <c r="M499" s="17">
        <f t="shared" si="273"/>
        <v>0</v>
      </c>
      <c r="N499" s="17">
        <f t="shared" si="274"/>
        <v>0</v>
      </c>
      <c r="O499" s="17">
        <f>ROUND(773.4,2)</f>
        <v>773.4</v>
      </c>
      <c r="P499" s="18">
        <v>0</v>
      </c>
      <c r="Q499" s="18">
        <v>0</v>
      </c>
    </row>
    <row r="500" spans="1:17" ht="12.75" customHeight="1">
      <c r="A500" s="19" t="s">
        <v>173</v>
      </c>
      <c r="B500" s="19"/>
      <c r="C500" s="19"/>
      <c r="D500" s="19"/>
      <c r="E500" s="20">
        <f>SUM('DS1'!$A$122)</f>
        <v>12000</v>
      </c>
      <c r="F500" s="20">
        <v>-11226.6</v>
      </c>
      <c r="G500" s="20">
        <v>773.3999999999996</v>
      </c>
      <c r="H500" s="20">
        <v>0</v>
      </c>
      <c r="I500" s="21">
        <v>0</v>
      </c>
      <c r="J500" s="21"/>
      <c r="K500" s="21">
        <v>0</v>
      </c>
      <c r="L500" s="21"/>
      <c r="M500" s="20">
        <v>0</v>
      </c>
      <c r="N500" s="20">
        <v>0</v>
      </c>
      <c r="O500" s="20">
        <v>773.4</v>
      </c>
      <c r="P500" s="22">
        <v>100.00000000000004</v>
      </c>
      <c r="Q500" s="22">
        <v>0</v>
      </c>
    </row>
    <row r="501" spans="1:17" ht="12.75" customHeight="1">
      <c r="A501" s="23"/>
      <c r="B501" s="24"/>
      <c r="C501" s="24"/>
      <c r="D501" s="24"/>
      <c r="E501" s="23"/>
      <c r="F501" s="20">
        <v>0</v>
      </c>
      <c r="G501" s="20">
        <v>0</v>
      </c>
      <c r="H501" s="20">
        <v>0</v>
      </c>
      <c r="I501" s="21">
        <v>0</v>
      </c>
      <c r="J501" s="21"/>
      <c r="K501" s="21">
        <v>0</v>
      </c>
      <c r="L501" s="21"/>
      <c r="M501" s="20">
        <v>0</v>
      </c>
      <c r="N501" s="20">
        <v>0</v>
      </c>
      <c r="O501" s="20">
        <v>773.3999999999996</v>
      </c>
      <c r="P501" s="22">
        <v>0</v>
      </c>
      <c r="Q501" s="22">
        <v>0</v>
      </c>
    </row>
    <row r="502" spans="1:17" ht="20.25" customHeight="1">
      <c r="A502" s="23"/>
      <c r="B502" s="24"/>
      <c r="C502" s="24"/>
      <c r="D502" s="24"/>
      <c r="E502" s="23"/>
      <c r="F502" s="23"/>
      <c r="G502" s="23"/>
      <c r="H502" s="23"/>
      <c r="I502" s="24"/>
      <c r="J502" s="24"/>
      <c r="K502" s="24"/>
      <c r="L502" s="24"/>
      <c r="M502" s="23"/>
      <c r="N502" s="23"/>
      <c r="O502" s="23"/>
      <c r="P502" s="23"/>
      <c r="Q502" s="23"/>
    </row>
    <row r="503" spans="1:17" ht="12.75" customHeight="1">
      <c r="A503" s="10"/>
      <c r="B503" s="11" t="s">
        <v>341</v>
      </c>
      <c r="C503" s="11"/>
      <c r="D503" s="11"/>
      <c r="E503" s="12">
        <f>ROUND(20000,2)</f>
        <v>20000</v>
      </c>
      <c r="F503" s="12">
        <f>ROUND(11226.6,2)</f>
        <v>11226.6</v>
      </c>
      <c r="G503" s="12">
        <f>ROUND(31226.6,2)</f>
        <v>31226.6</v>
      </c>
      <c r="H503" s="12">
        <f>ROUND(16197.57,2)</f>
        <v>16197.57</v>
      </c>
      <c r="I503" s="13">
        <f>ROUND(16197.57,2)</f>
        <v>16197.57</v>
      </c>
      <c r="J503" s="13"/>
      <c r="K503" s="13">
        <f>ROUND(16197.57,2)</f>
        <v>16197.57</v>
      </c>
      <c r="L503" s="13"/>
      <c r="M503" s="12">
        <f>ROUND(16197.57,2)</f>
        <v>16197.57</v>
      </c>
      <c r="N503" s="12">
        <f>ROUND(16197.57,2)</f>
        <v>16197.57</v>
      </c>
      <c r="O503" s="12">
        <f aca="true" t="shared" si="275" ref="O503:O504">ROUND(15029.03,2)</f>
        <v>15029.03</v>
      </c>
      <c r="P503" s="14">
        <v>48.12893494648793</v>
      </c>
      <c r="Q503" s="14">
        <v>51.87106505351207</v>
      </c>
    </row>
    <row r="504" spans="1:17" ht="12.75" customHeight="1">
      <c r="A504" s="15" t="s">
        <v>342</v>
      </c>
      <c r="B504" s="15"/>
      <c r="C504" s="15"/>
      <c r="D504" s="15"/>
      <c r="E504" s="16" t="s">
        <v>337</v>
      </c>
      <c r="F504" s="17">
        <f>ROUND(0,2)</f>
        <v>0</v>
      </c>
      <c r="G504" s="17">
        <f>ROUND(0,2)</f>
        <v>0</v>
      </c>
      <c r="H504" s="17">
        <f>ROUND(0,2)</f>
        <v>0</v>
      </c>
      <c r="I504" s="17">
        <f>ROUND(0,2)</f>
        <v>0</v>
      </c>
      <c r="J504" s="17"/>
      <c r="K504" s="17">
        <f>ROUND(0,2)</f>
        <v>0</v>
      </c>
      <c r="L504" s="17"/>
      <c r="M504" s="17">
        <f>ROUND(0,2)</f>
        <v>0</v>
      </c>
      <c r="N504" s="17">
        <f>ROUND(0,2)</f>
        <v>0</v>
      </c>
      <c r="O504" s="17">
        <f t="shared" si="275"/>
        <v>15029.03</v>
      </c>
      <c r="P504" s="18">
        <v>51.87106505351207</v>
      </c>
      <c r="Q504" s="18">
        <v>100</v>
      </c>
    </row>
    <row r="505" spans="1:17" ht="12.75" customHeight="1">
      <c r="A505" s="19" t="s">
        <v>92</v>
      </c>
      <c r="B505" s="19"/>
      <c r="C505" s="19"/>
      <c r="D505" s="19"/>
      <c r="E505" s="20">
        <f>SUM('DS1'!$A$123)</f>
        <v>20000</v>
      </c>
      <c r="F505" s="20">
        <v>11226.6</v>
      </c>
      <c r="G505" s="20">
        <v>31226.6</v>
      </c>
      <c r="H505" s="20">
        <v>16197.57</v>
      </c>
      <c r="I505" s="21">
        <v>16197.57</v>
      </c>
      <c r="J505" s="21"/>
      <c r="K505" s="21">
        <v>16197.57</v>
      </c>
      <c r="L505" s="21"/>
      <c r="M505" s="20">
        <v>16197.57</v>
      </c>
      <c r="N505" s="20">
        <v>16197.57</v>
      </c>
      <c r="O505" s="20">
        <v>15029.03</v>
      </c>
      <c r="P505" s="22">
        <v>48.12893494648793</v>
      </c>
      <c r="Q505" s="22">
        <v>51.87106505351207</v>
      </c>
    </row>
    <row r="506" spans="1:17" ht="12.75" customHeight="1">
      <c r="A506" s="23"/>
      <c r="B506" s="24"/>
      <c r="C506" s="24"/>
      <c r="D506" s="24"/>
      <c r="E506" s="23"/>
      <c r="F506" s="20">
        <v>0</v>
      </c>
      <c r="G506" s="20">
        <v>0</v>
      </c>
      <c r="H506" s="20">
        <v>0</v>
      </c>
      <c r="I506" s="21">
        <v>0</v>
      </c>
      <c r="J506" s="21"/>
      <c r="K506" s="21">
        <v>0</v>
      </c>
      <c r="L506" s="21"/>
      <c r="M506" s="20">
        <v>0</v>
      </c>
      <c r="N506" s="20">
        <v>0</v>
      </c>
      <c r="O506" s="20">
        <v>15029.03</v>
      </c>
      <c r="P506" s="22">
        <v>51.87106505351207</v>
      </c>
      <c r="Q506" s="22">
        <v>100</v>
      </c>
    </row>
    <row r="507" spans="1:17" ht="20.25" customHeight="1">
      <c r="A507" s="23"/>
      <c r="B507" s="24"/>
      <c r="C507" s="24"/>
      <c r="D507" s="24"/>
      <c r="E507" s="23"/>
      <c r="F507" s="23"/>
      <c r="G507" s="23"/>
      <c r="H507" s="23"/>
      <c r="I507" s="24"/>
      <c r="J507" s="24"/>
      <c r="K507" s="24"/>
      <c r="L507" s="24"/>
      <c r="M507" s="23"/>
      <c r="N507" s="23"/>
      <c r="O507" s="23"/>
      <c r="P507" s="23"/>
      <c r="Q507" s="23"/>
    </row>
    <row r="508" spans="1:17" ht="12.75" customHeight="1">
      <c r="A508" s="10"/>
      <c r="B508" s="11" t="s">
        <v>343</v>
      </c>
      <c r="C508" s="11"/>
      <c r="D508" s="11"/>
      <c r="E508" s="12">
        <f>ROUND(495000,2)</f>
        <v>495000</v>
      </c>
      <c r="F508" s="12">
        <f aca="true" t="shared" si="276" ref="F508:F509">ROUND(0,2)</f>
        <v>0</v>
      </c>
      <c r="G508" s="12">
        <f>ROUND(495000,2)</f>
        <v>495000</v>
      </c>
      <c r="H508" s="12">
        <f>ROUND(501991.2,2)</f>
        <v>501991.2</v>
      </c>
      <c r="I508" s="13">
        <f>ROUND(501991.2,2)</f>
        <v>501991.2</v>
      </c>
      <c r="J508" s="13"/>
      <c r="K508" s="13">
        <f>ROUND(501991.2,2)</f>
        <v>501991.2</v>
      </c>
      <c r="L508" s="13"/>
      <c r="M508" s="12">
        <f>ROUND(501991.2,2)</f>
        <v>501991.2</v>
      </c>
      <c r="N508" s="12">
        <f>ROUND(501991.2,2)</f>
        <v>501991.2</v>
      </c>
      <c r="O508" s="12">
        <f>ROUND(-6991.2,2)</f>
        <v>-6991.2</v>
      </c>
      <c r="P508" s="14">
        <v>-1.4123636363636363</v>
      </c>
      <c r="Q508" s="14">
        <v>101.41236363636364</v>
      </c>
    </row>
    <row r="509" spans="1:17" ht="12.75" customHeight="1">
      <c r="A509" s="15" t="s">
        <v>344</v>
      </c>
      <c r="B509" s="15"/>
      <c r="C509" s="15"/>
      <c r="D509" s="15"/>
      <c r="E509" s="16" t="s">
        <v>337</v>
      </c>
      <c r="F509" s="17">
        <f t="shared" si="276"/>
        <v>0</v>
      </c>
      <c r="G509" s="17">
        <f>ROUND(0,2)</f>
        <v>0</v>
      </c>
      <c r="H509" s="17">
        <f>ROUND(0,2)</f>
        <v>0</v>
      </c>
      <c r="I509" s="17">
        <f>ROUND(0,2)</f>
        <v>0</v>
      </c>
      <c r="J509" s="17"/>
      <c r="K509" s="17">
        <f>ROUND(0,2)</f>
        <v>0</v>
      </c>
      <c r="L509" s="17"/>
      <c r="M509" s="17">
        <f>ROUND(0,2)</f>
        <v>0</v>
      </c>
      <c r="N509" s="17">
        <f>ROUND(0,2)</f>
        <v>0</v>
      </c>
      <c r="O509" s="17">
        <f>ROUND(-6991.20000000001,2)</f>
        <v>-6991.2</v>
      </c>
      <c r="P509" s="18">
        <v>101.41236363636364</v>
      </c>
      <c r="Q509" s="18">
        <v>100</v>
      </c>
    </row>
    <row r="510" spans="1:17" ht="12.75" customHeight="1">
      <c r="A510" s="10" t="s">
        <v>83</v>
      </c>
      <c r="B510" s="11" t="s">
        <v>345</v>
      </c>
      <c r="C510" s="11"/>
      <c r="D510" s="11"/>
      <c r="E510" s="12">
        <f>ROUND(0,2)</f>
        <v>0</v>
      </c>
      <c r="F510" s="12">
        <f aca="true" t="shared" si="277" ref="F510:F511">ROUND(26664.4,2)</f>
        <v>26664.4</v>
      </c>
      <c r="G510" s="12">
        <f>ROUND(26664.4,2)</f>
        <v>26664.4</v>
      </c>
      <c r="H510" s="12">
        <f>ROUND(22855.2,2)</f>
        <v>22855.2</v>
      </c>
      <c r="I510" s="13">
        <f>ROUND(22855.2,2)</f>
        <v>22855.2</v>
      </c>
      <c r="J510" s="13"/>
      <c r="K510" s="13">
        <f>ROUND(22855.2,2)</f>
        <v>22855.2</v>
      </c>
      <c r="L510" s="13"/>
      <c r="M510" s="12">
        <f>ROUND(22855.2,2)</f>
        <v>22855.2</v>
      </c>
      <c r="N510" s="12">
        <f>ROUND(22855.2,2)</f>
        <v>22855.2</v>
      </c>
      <c r="O510" s="12">
        <f>ROUND(3809.2,2)</f>
        <v>3809.2</v>
      </c>
      <c r="P510" s="14">
        <v>14.285714285714285</v>
      </c>
      <c r="Q510" s="14">
        <v>85.71428571428571</v>
      </c>
    </row>
    <row r="511" spans="1:17" ht="12.75" customHeight="1">
      <c r="A511" s="15" t="s">
        <v>344</v>
      </c>
      <c r="B511" s="15"/>
      <c r="C511" s="15"/>
      <c r="D511" s="15"/>
      <c r="E511" s="16" t="s">
        <v>346</v>
      </c>
      <c r="F511" s="17">
        <f t="shared" si="277"/>
        <v>26664.4</v>
      </c>
      <c r="G511" s="17">
        <f>ROUND(0,2)</f>
        <v>0</v>
      </c>
      <c r="H511" s="17">
        <f>ROUND(0,2)</f>
        <v>0</v>
      </c>
      <c r="I511" s="17">
        <f>ROUND(0,2)</f>
        <v>0</v>
      </c>
      <c r="J511" s="17"/>
      <c r="K511" s="17">
        <f>ROUND(0,2)</f>
        <v>0</v>
      </c>
      <c r="L511" s="17"/>
      <c r="M511" s="17">
        <f>ROUND(0,2)</f>
        <v>0</v>
      </c>
      <c r="N511" s="17">
        <f>ROUND(0,2)</f>
        <v>0</v>
      </c>
      <c r="O511" s="17">
        <f>ROUND(3809.2,2)</f>
        <v>3809.2</v>
      </c>
      <c r="P511" s="18">
        <v>85.71428571428571</v>
      </c>
      <c r="Q511" s="18">
        <v>100</v>
      </c>
    </row>
    <row r="512" spans="1:17" ht="12.75" customHeight="1">
      <c r="A512" s="19" t="s">
        <v>37</v>
      </c>
      <c r="B512" s="19"/>
      <c r="C512" s="19"/>
      <c r="D512" s="19"/>
      <c r="E512" s="20">
        <f>SUM('DS1'!$A$124:$A$125)</f>
        <v>495000</v>
      </c>
      <c r="F512" s="20">
        <v>26664.4</v>
      </c>
      <c r="G512" s="20">
        <v>521664.4</v>
      </c>
      <c r="H512" s="20">
        <v>524846.4</v>
      </c>
      <c r="I512" s="21">
        <v>524846.4</v>
      </c>
      <c r="J512" s="21"/>
      <c r="K512" s="21">
        <v>524846.4</v>
      </c>
      <c r="L512" s="21"/>
      <c r="M512" s="20">
        <v>524846.4</v>
      </c>
      <c r="N512" s="20">
        <v>524846.4</v>
      </c>
      <c r="O512" s="20">
        <v>-3182</v>
      </c>
      <c r="P512" s="22">
        <v>-0.6099707014701405</v>
      </c>
      <c r="Q512" s="22">
        <v>100.60997070147013</v>
      </c>
    </row>
    <row r="513" spans="1:17" ht="12.75" customHeight="1">
      <c r="A513" s="23"/>
      <c r="B513" s="24"/>
      <c r="C513" s="24"/>
      <c r="D513" s="24"/>
      <c r="E513" s="23"/>
      <c r="F513" s="20">
        <v>26664.4</v>
      </c>
      <c r="G513" s="20">
        <v>0</v>
      </c>
      <c r="H513" s="20">
        <v>0</v>
      </c>
      <c r="I513" s="21">
        <v>0</v>
      </c>
      <c r="J513" s="21"/>
      <c r="K513" s="21">
        <v>0</v>
      </c>
      <c r="L513" s="21"/>
      <c r="M513" s="20">
        <v>0</v>
      </c>
      <c r="N513" s="20">
        <v>0</v>
      </c>
      <c r="O513" s="20">
        <v>-3182.000000000011</v>
      </c>
      <c r="P513" s="22">
        <v>100.60997070147013</v>
      </c>
      <c r="Q513" s="22">
        <v>100</v>
      </c>
    </row>
    <row r="514" spans="1:17" ht="20.25" customHeight="1">
      <c r="A514" s="23"/>
      <c r="B514" s="24"/>
      <c r="C514" s="24"/>
      <c r="D514" s="24"/>
      <c r="E514" s="23"/>
      <c r="F514" s="23"/>
      <c r="G514" s="23"/>
      <c r="H514" s="23"/>
      <c r="I514" s="24"/>
      <c r="J514" s="24"/>
      <c r="K514" s="24"/>
      <c r="L514" s="24"/>
      <c r="M514" s="23"/>
      <c r="N514" s="23"/>
      <c r="O514" s="23"/>
      <c r="P514" s="23"/>
      <c r="Q514" s="23"/>
    </row>
    <row r="515" spans="1:17" ht="12.75" customHeight="1">
      <c r="A515" s="10" t="s">
        <v>83</v>
      </c>
      <c r="B515" s="11" t="s">
        <v>347</v>
      </c>
      <c r="C515" s="11"/>
      <c r="D515" s="11"/>
      <c r="E515" s="12">
        <f>ROUND(0,2)</f>
        <v>0</v>
      </c>
      <c r="F515" s="12">
        <f aca="true" t="shared" si="278" ref="F515:F516">ROUND(29743.96,2)</f>
        <v>29743.96</v>
      </c>
      <c r="G515" s="12">
        <f>ROUND(29743.96,2)</f>
        <v>29743.96</v>
      </c>
      <c r="H515" s="12">
        <f>ROUND(29743.95,2)</f>
        <v>29743.95</v>
      </c>
      <c r="I515" s="13">
        <f>ROUND(29743.95,2)</f>
        <v>29743.95</v>
      </c>
      <c r="J515" s="13"/>
      <c r="K515" s="13">
        <f>ROUND(29743.95,2)</f>
        <v>29743.95</v>
      </c>
      <c r="L515" s="13"/>
      <c r="M515" s="12">
        <f>ROUND(29743.95,2)</f>
        <v>29743.95</v>
      </c>
      <c r="N515" s="12">
        <f>ROUND(29743.95,2)</f>
        <v>29743.95</v>
      </c>
      <c r="O515" s="12">
        <f>ROUND(0.01,2)</f>
        <v>0.01</v>
      </c>
      <c r="P515" s="14">
        <v>3.3620271140762694E-05</v>
      </c>
      <c r="Q515" s="14">
        <v>99.99996637972886</v>
      </c>
    </row>
    <row r="516" spans="1:17" ht="12.75" customHeight="1">
      <c r="A516" s="15" t="s">
        <v>348</v>
      </c>
      <c r="B516" s="15"/>
      <c r="C516" s="15"/>
      <c r="D516" s="15"/>
      <c r="E516" s="16" t="s">
        <v>349</v>
      </c>
      <c r="F516" s="17">
        <f t="shared" si="278"/>
        <v>29743.96</v>
      </c>
      <c r="G516" s="17">
        <f>ROUND(0,2)</f>
        <v>0</v>
      </c>
      <c r="H516" s="17">
        <f>ROUND(0,2)</f>
        <v>0</v>
      </c>
      <c r="I516" s="17">
        <f>ROUND(0,2)</f>
        <v>0</v>
      </c>
      <c r="J516" s="17"/>
      <c r="K516" s="17">
        <f>ROUND(0,2)</f>
        <v>0</v>
      </c>
      <c r="L516" s="17"/>
      <c r="M516" s="17">
        <f>ROUND(0,2)</f>
        <v>0</v>
      </c>
      <c r="N516" s="17">
        <f>ROUND(0,2)</f>
        <v>0</v>
      </c>
      <c r="O516" s="17">
        <f>ROUND(0.00999999999839929,2)</f>
        <v>0.01</v>
      </c>
      <c r="P516" s="18">
        <v>99.99996637972886</v>
      </c>
      <c r="Q516" s="18">
        <v>100</v>
      </c>
    </row>
    <row r="517" spans="1:17" ht="12.75" customHeight="1">
      <c r="A517" s="19" t="s">
        <v>201</v>
      </c>
      <c r="B517" s="19"/>
      <c r="C517" s="19"/>
      <c r="D517" s="19"/>
      <c r="E517" s="20">
        <f>SUM('DS1'!$A$126)</f>
        <v>0</v>
      </c>
      <c r="F517" s="20">
        <v>29743.96</v>
      </c>
      <c r="G517" s="20">
        <v>29743.96</v>
      </c>
      <c r="H517" s="20">
        <v>29743.95</v>
      </c>
      <c r="I517" s="21">
        <v>29743.95</v>
      </c>
      <c r="J517" s="21"/>
      <c r="K517" s="21">
        <v>29743.95</v>
      </c>
      <c r="L517" s="21"/>
      <c r="M517" s="20">
        <v>29743.95</v>
      </c>
      <c r="N517" s="20">
        <v>29743.95</v>
      </c>
      <c r="O517" s="20">
        <v>0.01</v>
      </c>
      <c r="P517" s="22">
        <v>3.3620271140762694E-05</v>
      </c>
      <c r="Q517" s="22">
        <v>99.99996637972886</v>
      </c>
    </row>
    <row r="518" spans="1:17" ht="12.75" customHeight="1">
      <c r="A518" s="23"/>
      <c r="B518" s="24"/>
      <c r="C518" s="24"/>
      <c r="D518" s="24"/>
      <c r="E518" s="23"/>
      <c r="F518" s="20">
        <v>29743.96</v>
      </c>
      <c r="G518" s="20">
        <v>0</v>
      </c>
      <c r="H518" s="20">
        <v>0</v>
      </c>
      <c r="I518" s="21">
        <v>0</v>
      </c>
      <c r="J518" s="21"/>
      <c r="K518" s="21">
        <v>0</v>
      </c>
      <c r="L518" s="21"/>
      <c r="M518" s="20">
        <v>0</v>
      </c>
      <c r="N518" s="20">
        <v>0</v>
      </c>
      <c r="O518" s="20">
        <v>0.00999999999839929</v>
      </c>
      <c r="P518" s="22">
        <v>99.99996637972886</v>
      </c>
      <c r="Q518" s="22">
        <v>100</v>
      </c>
    </row>
    <row r="519" spans="1:17" ht="20.25" customHeight="1">
      <c r="A519" s="23"/>
      <c r="B519" s="24"/>
      <c r="C519" s="24"/>
      <c r="D519" s="24"/>
      <c r="E519" s="23"/>
      <c r="F519" s="23"/>
      <c r="G519" s="23"/>
      <c r="H519" s="23"/>
      <c r="I519" s="24"/>
      <c r="J519" s="24"/>
      <c r="K519" s="24"/>
      <c r="L519" s="24"/>
      <c r="M519" s="23"/>
      <c r="N519" s="23"/>
      <c r="O519" s="23"/>
      <c r="P519" s="23"/>
      <c r="Q519" s="23"/>
    </row>
    <row r="520" spans="1:17" ht="12.75" customHeight="1">
      <c r="A520" s="10"/>
      <c r="B520" s="11" t="s">
        <v>350</v>
      </c>
      <c r="C520" s="11"/>
      <c r="D520" s="11"/>
      <c r="E520" s="12">
        <f>ROUND(450000,2)</f>
        <v>450000</v>
      </c>
      <c r="F520" s="12">
        <f>ROUND(-63870.66,2)</f>
        <v>-63870.66</v>
      </c>
      <c r="G520" s="12">
        <f>ROUND(386129.34,2)</f>
        <v>386129.34</v>
      </c>
      <c r="H520" s="12">
        <f>ROUND(386129.34,2)</f>
        <v>386129.34</v>
      </c>
      <c r="I520" s="13">
        <f aca="true" t="shared" si="279" ref="I520:I521">ROUND(386129.34,2)</f>
        <v>386129.34</v>
      </c>
      <c r="J520" s="13"/>
      <c r="K520" s="13">
        <f aca="true" t="shared" si="280" ref="K520:K521">ROUND(0,2)</f>
        <v>0</v>
      </c>
      <c r="L520" s="13"/>
      <c r="M520" s="12">
        <f aca="true" t="shared" si="281" ref="M520:M521">ROUND(0,2)</f>
        <v>0</v>
      </c>
      <c r="N520" s="12">
        <f aca="true" t="shared" si="282" ref="N520:N521">ROUND(0,2)</f>
        <v>0</v>
      </c>
      <c r="O520" s="12">
        <f>ROUND(0,2)</f>
        <v>0</v>
      </c>
      <c r="P520" s="14">
        <v>0</v>
      </c>
      <c r="Q520" s="14">
        <v>0</v>
      </c>
    </row>
    <row r="521" spans="1:17" ht="12.75" customHeight="1">
      <c r="A521" s="15" t="s">
        <v>351</v>
      </c>
      <c r="B521" s="15"/>
      <c r="C521" s="15"/>
      <c r="D521" s="15"/>
      <c r="E521" s="16" t="s">
        <v>352</v>
      </c>
      <c r="F521" s="17">
        <f>ROUND(0,2)</f>
        <v>0</v>
      </c>
      <c r="G521" s="17">
        <f>ROUND(0,2)</f>
        <v>0</v>
      </c>
      <c r="H521" s="17">
        <f>ROUND(0,2)</f>
        <v>0</v>
      </c>
      <c r="I521" s="17">
        <f t="shared" si="279"/>
        <v>386129.34</v>
      </c>
      <c r="J521" s="17"/>
      <c r="K521" s="17">
        <f t="shared" si="280"/>
        <v>0</v>
      </c>
      <c r="L521" s="17"/>
      <c r="M521" s="17">
        <f t="shared" si="281"/>
        <v>0</v>
      </c>
      <c r="N521" s="17">
        <f t="shared" si="282"/>
        <v>0</v>
      </c>
      <c r="O521" s="17">
        <f>ROUND(386129.34,2)</f>
        <v>386129.34</v>
      </c>
      <c r="P521" s="18">
        <v>85.80652</v>
      </c>
      <c r="Q521" s="18">
        <v>0</v>
      </c>
    </row>
    <row r="522" spans="1:17" ht="12.75" customHeight="1">
      <c r="A522" s="19" t="s">
        <v>353</v>
      </c>
      <c r="B522" s="19"/>
      <c r="C522" s="19"/>
      <c r="D522" s="19"/>
      <c r="E522" s="20">
        <f>SUM('DS1'!$A$127)</f>
        <v>450000</v>
      </c>
      <c r="F522" s="20">
        <v>-63870.66</v>
      </c>
      <c r="G522" s="20">
        <v>386129.34</v>
      </c>
      <c r="H522" s="20">
        <v>386129.34</v>
      </c>
      <c r="I522" s="21">
        <v>386129.34</v>
      </c>
      <c r="J522" s="21"/>
      <c r="K522" s="21">
        <v>0</v>
      </c>
      <c r="L522" s="21"/>
      <c r="M522" s="20">
        <v>0</v>
      </c>
      <c r="N522" s="20">
        <v>0</v>
      </c>
      <c r="O522" s="20">
        <v>0</v>
      </c>
      <c r="P522" s="22">
        <v>0</v>
      </c>
      <c r="Q522" s="22">
        <v>0</v>
      </c>
    </row>
    <row r="523" spans="1:17" ht="12.75" customHeight="1">
      <c r="A523" s="23"/>
      <c r="B523" s="24"/>
      <c r="C523" s="24"/>
      <c r="D523" s="24"/>
      <c r="E523" s="23"/>
      <c r="F523" s="20">
        <v>0</v>
      </c>
      <c r="G523" s="20">
        <v>0</v>
      </c>
      <c r="H523" s="20">
        <v>0</v>
      </c>
      <c r="I523" s="21">
        <v>386129.34</v>
      </c>
      <c r="J523" s="21"/>
      <c r="K523" s="21">
        <v>0</v>
      </c>
      <c r="L523" s="21"/>
      <c r="M523" s="20">
        <v>0</v>
      </c>
      <c r="N523" s="20">
        <v>0</v>
      </c>
      <c r="O523" s="20">
        <v>386129.34</v>
      </c>
      <c r="P523" s="22">
        <v>100.00000000000003</v>
      </c>
      <c r="Q523" s="22">
        <v>0</v>
      </c>
    </row>
    <row r="524" spans="1:17" ht="20.25" customHeight="1">
      <c r="A524" s="23"/>
      <c r="B524" s="24"/>
      <c r="C524" s="24"/>
      <c r="D524" s="24"/>
      <c r="E524" s="23"/>
      <c r="F524" s="23"/>
      <c r="G524" s="23"/>
      <c r="H524" s="23"/>
      <c r="I524" s="24"/>
      <c r="J524" s="24"/>
      <c r="K524" s="24"/>
      <c r="L524" s="24"/>
      <c r="M524" s="23"/>
      <c r="N524" s="23"/>
      <c r="O524" s="23"/>
      <c r="P524" s="23"/>
      <c r="Q524" s="23"/>
    </row>
    <row r="525" spans="1:17" ht="12.75" customHeight="1">
      <c r="A525" s="19" t="s">
        <v>354</v>
      </c>
      <c r="B525" s="19"/>
      <c r="C525" s="19"/>
      <c r="D525" s="19"/>
      <c r="E525" s="20">
        <f>SUM('DS1'!$A$122:$A$127)</f>
        <v>977000</v>
      </c>
      <c r="F525" s="20">
        <v>-7462.300000000003</v>
      </c>
      <c r="G525" s="20">
        <v>969537.7</v>
      </c>
      <c r="H525" s="20">
        <v>956917.26</v>
      </c>
      <c r="I525" s="21">
        <v>956917.26</v>
      </c>
      <c r="J525" s="21"/>
      <c r="K525" s="21">
        <v>570787.92</v>
      </c>
      <c r="L525" s="21"/>
      <c r="M525" s="20">
        <v>570787.92</v>
      </c>
      <c r="N525" s="20">
        <v>570787.92</v>
      </c>
      <c r="O525" s="20">
        <v>12620.44</v>
      </c>
      <c r="P525" s="22">
        <v>1.301696674611003</v>
      </c>
      <c r="Q525" s="22">
        <v>58.87217382057449</v>
      </c>
    </row>
    <row r="526" spans="1:17" ht="12.75" customHeight="1">
      <c r="A526" s="23"/>
      <c r="B526" s="24"/>
      <c r="C526" s="24"/>
      <c r="D526" s="24"/>
      <c r="E526" s="23"/>
      <c r="F526" s="20">
        <v>56408.36</v>
      </c>
      <c r="G526" s="20">
        <v>0</v>
      </c>
      <c r="H526" s="20">
        <v>0</v>
      </c>
      <c r="I526" s="21">
        <v>386129.34</v>
      </c>
      <c r="J526" s="21"/>
      <c r="K526" s="21">
        <v>0</v>
      </c>
      <c r="L526" s="21"/>
      <c r="M526" s="20">
        <v>0</v>
      </c>
      <c r="N526" s="20">
        <v>0</v>
      </c>
      <c r="O526" s="20">
        <v>398749.78</v>
      </c>
      <c r="P526" s="22">
        <v>98.698303325389</v>
      </c>
      <c r="Q526" s="22">
        <v>100</v>
      </c>
    </row>
    <row r="527" spans="1:17" ht="18" customHeight="1">
      <c r="A527" s="23"/>
      <c r="B527" s="24"/>
      <c r="C527" s="24"/>
      <c r="D527" s="24"/>
      <c r="E527" s="23"/>
      <c r="F527" s="23"/>
      <c r="G527" s="23"/>
      <c r="H527" s="23"/>
      <c r="I527" s="24"/>
      <c r="J527" s="24"/>
      <c r="K527" s="24"/>
      <c r="L527" s="24"/>
      <c r="M527" s="23"/>
      <c r="N527" s="23"/>
      <c r="O527" s="23"/>
      <c r="P527" s="23"/>
      <c r="Q527" s="23"/>
    </row>
    <row r="528" spans="1:17" ht="12.75" customHeight="1">
      <c r="A528" s="10"/>
      <c r="B528" s="11" t="s">
        <v>355</v>
      </c>
      <c r="C528" s="11"/>
      <c r="D528" s="11"/>
      <c r="E528" s="12">
        <f>ROUND(14006.94,2)</f>
        <v>14006.94</v>
      </c>
      <c r="F528" s="12">
        <f>ROUND(126.06,2)</f>
        <v>126.06</v>
      </c>
      <c r="G528" s="12">
        <f>ROUND(14133,2)</f>
        <v>14133</v>
      </c>
      <c r="H528" s="12">
        <f>ROUND(14132.38,2)</f>
        <v>14132.38</v>
      </c>
      <c r="I528" s="13">
        <f>ROUND(14132.38,2)</f>
        <v>14132.38</v>
      </c>
      <c r="J528" s="13"/>
      <c r="K528" s="13">
        <f>ROUND(14132.38,2)</f>
        <v>14132.38</v>
      </c>
      <c r="L528" s="13"/>
      <c r="M528" s="12">
        <f>ROUND(14132.38,2)</f>
        <v>14132.38</v>
      </c>
      <c r="N528" s="12">
        <f>ROUND(14132.38,2)</f>
        <v>14132.38</v>
      </c>
      <c r="O528" s="12">
        <f>ROUND(0.62,2)</f>
        <v>0.62</v>
      </c>
      <c r="P528" s="14">
        <v>0.0043868959173565415</v>
      </c>
      <c r="Q528" s="14">
        <v>99.99561310408264</v>
      </c>
    </row>
    <row r="529" spans="1:17" ht="12.75" customHeight="1">
      <c r="A529" s="15" t="s">
        <v>356</v>
      </c>
      <c r="B529" s="15"/>
      <c r="C529" s="15"/>
      <c r="D529" s="15"/>
      <c r="E529" s="16" t="s">
        <v>41</v>
      </c>
      <c r="F529" s="17">
        <f>ROUND(0,2)</f>
        <v>0</v>
      </c>
      <c r="G529" s="17">
        <f>ROUND(0,2)</f>
        <v>0</v>
      </c>
      <c r="H529" s="17">
        <f>ROUND(0,2)</f>
        <v>0</v>
      </c>
      <c r="I529" s="17">
        <f>ROUND(0,2)</f>
        <v>0</v>
      </c>
      <c r="J529" s="17"/>
      <c r="K529" s="17">
        <f>ROUND(0,2)</f>
        <v>0</v>
      </c>
      <c r="L529" s="17"/>
      <c r="M529" s="17">
        <f>ROUND(0,2)</f>
        <v>0</v>
      </c>
      <c r="N529" s="17">
        <f>ROUND(0,2)</f>
        <v>0</v>
      </c>
      <c r="O529" s="17">
        <f>ROUND(0.6200000000008,2)</f>
        <v>0.62</v>
      </c>
      <c r="P529" s="18">
        <v>99.99561310408264</v>
      </c>
      <c r="Q529" s="18">
        <v>100</v>
      </c>
    </row>
    <row r="530" spans="1:17" ht="12.75" customHeight="1">
      <c r="A530" s="19" t="s">
        <v>48</v>
      </c>
      <c r="B530" s="19"/>
      <c r="C530" s="19"/>
      <c r="D530" s="19"/>
      <c r="E530" s="20">
        <f>SUM('DS1'!$A$128)</f>
        <v>14006.94</v>
      </c>
      <c r="F530" s="20">
        <v>126.06</v>
      </c>
      <c r="G530" s="20">
        <v>14133</v>
      </c>
      <c r="H530" s="20">
        <v>14132.38</v>
      </c>
      <c r="I530" s="21">
        <v>14132.38</v>
      </c>
      <c r="J530" s="21"/>
      <c r="K530" s="21">
        <v>14132.38</v>
      </c>
      <c r="L530" s="21"/>
      <c r="M530" s="20">
        <v>14132.38</v>
      </c>
      <c r="N530" s="20">
        <v>14132.38</v>
      </c>
      <c r="O530" s="20">
        <v>0.62</v>
      </c>
      <c r="P530" s="22">
        <v>0.0043868959173565415</v>
      </c>
      <c r="Q530" s="22">
        <v>99.99561310408264</v>
      </c>
    </row>
    <row r="531" spans="1:17" ht="12.75" customHeight="1">
      <c r="A531" s="23"/>
      <c r="B531" s="24"/>
      <c r="C531" s="24"/>
      <c r="D531" s="24"/>
      <c r="E531" s="23"/>
      <c r="F531" s="20">
        <v>0</v>
      </c>
      <c r="G531" s="20">
        <v>0</v>
      </c>
      <c r="H531" s="20">
        <v>0</v>
      </c>
      <c r="I531" s="21">
        <v>0</v>
      </c>
      <c r="J531" s="21"/>
      <c r="K531" s="21">
        <v>0</v>
      </c>
      <c r="L531" s="21"/>
      <c r="M531" s="20">
        <v>0</v>
      </c>
      <c r="N531" s="20">
        <v>0</v>
      </c>
      <c r="O531" s="20">
        <v>0.6200000000008004</v>
      </c>
      <c r="P531" s="22">
        <v>99.99561310408264</v>
      </c>
      <c r="Q531" s="22">
        <v>100</v>
      </c>
    </row>
    <row r="532" spans="1:17" ht="20.25" customHeight="1">
      <c r="A532" s="23"/>
      <c r="B532" s="24"/>
      <c r="C532" s="24"/>
      <c r="D532" s="24"/>
      <c r="E532" s="23"/>
      <c r="F532" s="23"/>
      <c r="G532" s="23"/>
      <c r="H532" s="23"/>
      <c r="I532" s="24"/>
      <c r="J532" s="24"/>
      <c r="K532" s="24"/>
      <c r="L532" s="24"/>
      <c r="M532" s="23"/>
      <c r="N532" s="23"/>
      <c r="O532" s="23"/>
      <c r="P532" s="23"/>
      <c r="Q532" s="23"/>
    </row>
    <row r="533" spans="1:17" ht="12.75" customHeight="1">
      <c r="A533" s="10"/>
      <c r="B533" s="11" t="s">
        <v>357</v>
      </c>
      <c r="C533" s="11"/>
      <c r="D533" s="11"/>
      <c r="E533" s="12">
        <f>ROUND(1825.68,2)</f>
        <v>1825.68</v>
      </c>
      <c r="F533" s="12">
        <f>ROUND(16.43,2)</f>
        <v>16.43</v>
      </c>
      <c r="G533" s="12">
        <f>ROUND(1842.11,2)</f>
        <v>1842.11</v>
      </c>
      <c r="H533" s="12">
        <f>ROUND(1841.52,2)</f>
        <v>1841.52</v>
      </c>
      <c r="I533" s="13">
        <f>ROUND(1841.52,2)</f>
        <v>1841.52</v>
      </c>
      <c r="J533" s="13"/>
      <c r="K533" s="13">
        <f>ROUND(1841.52,2)</f>
        <v>1841.52</v>
      </c>
      <c r="L533" s="13"/>
      <c r="M533" s="12">
        <f>ROUND(1841.52,2)</f>
        <v>1841.52</v>
      </c>
      <c r="N533" s="12">
        <f>ROUND(1841.52,2)</f>
        <v>1841.52</v>
      </c>
      <c r="O533" s="12">
        <f>ROUND(0.59,2)</f>
        <v>0.59</v>
      </c>
      <c r="P533" s="14">
        <v>0.03202848906959953</v>
      </c>
      <c r="Q533" s="14">
        <v>99.9679715109304</v>
      </c>
    </row>
    <row r="534" spans="1:17" ht="12.75" customHeight="1">
      <c r="A534" s="15" t="s">
        <v>358</v>
      </c>
      <c r="B534" s="15"/>
      <c r="C534" s="15"/>
      <c r="D534" s="15"/>
      <c r="E534" s="16" t="s">
        <v>41</v>
      </c>
      <c r="F534" s="17">
        <f>ROUND(0,2)</f>
        <v>0</v>
      </c>
      <c r="G534" s="17">
        <f>ROUND(0,2)</f>
        <v>0</v>
      </c>
      <c r="H534" s="17">
        <f>ROUND(0,2)</f>
        <v>0</v>
      </c>
      <c r="I534" s="17">
        <f>ROUND(0,2)</f>
        <v>0</v>
      </c>
      <c r="J534" s="17"/>
      <c r="K534" s="17">
        <f>ROUND(0,2)</f>
        <v>0</v>
      </c>
      <c r="L534" s="17"/>
      <c r="M534" s="17">
        <f>ROUND(0,2)</f>
        <v>0</v>
      </c>
      <c r="N534" s="17">
        <f>ROUND(0,2)</f>
        <v>0</v>
      </c>
      <c r="O534" s="17">
        <f>ROUND(0.590000000000146,2)</f>
        <v>0.59</v>
      </c>
      <c r="P534" s="18">
        <v>99.9679715109304</v>
      </c>
      <c r="Q534" s="18">
        <v>100</v>
      </c>
    </row>
    <row r="535" spans="1:17" ht="12.75" customHeight="1">
      <c r="A535" s="10"/>
      <c r="B535" s="11" t="s">
        <v>359</v>
      </c>
      <c r="C535" s="11"/>
      <c r="D535" s="11"/>
      <c r="E535" s="12">
        <f>ROUND(6693.82,2)</f>
        <v>6693.82</v>
      </c>
      <c r="F535" s="12">
        <f>ROUND(60.24,2)</f>
        <v>60.24</v>
      </c>
      <c r="G535" s="12">
        <f>ROUND(6754.06,2)</f>
        <v>6754.06</v>
      </c>
      <c r="H535" s="12">
        <f>ROUND(6740.44,2)</f>
        <v>6740.44</v>
      </c>
      <c r="I535" s="13">
        <f>ROUND(6740.44,2)</f>
        <v>6740.44</v>
      </c>
      <c r="J535" s="13"/>
      <c r="K535" s="13">
        <f>ROUND(6740.44,2)</f>
        <v>6740.44</v>
      </c>
      <c r="L535" s="13"/>
      <c r="M535" s="12">
        <f>ROUND(6740.44,2)</f>
        <v>6740.44</v>
      </c>
      <c r="N535" s="12">
        <f>ROUND(6740.44,2)</f>
        <v>6740.44</v>
      </c>
      <c r="O535" s="12">
        <f>ROUND(13.62,2)</f>
        <v>13.62</v>
      </c>
      <c r="P535" s="14">
        <v>0.2016564851363476</v>
      </c>
      <c r="Q535" s="14">
        <v>99.79834351486365</v>
      </c>
    </row>
    <row r="536" spans="1:17" ht="12.75" customHeight="1">
      <c r="A536" s="15" t="s">
        <v>360</v>
      </c>
      <c r="B536" s="15"/>
      <c r="C536" s="15"/>
      <c r="D536" s="15"/>
      <c r="E536" s="16" t="s">
        <v>41</v>
      </c>
      <c r="F536" s="17">
        <f>ROUND(0,2)</f>
        <v>0</v>
      </c>
      <c r="G536" s="17">
        <f>ROUND(0,2)</f>
        <v>0</v>
      </c>
      <c r="H536" s="17">
        <f>ROUND(0,2)</f>
        <v>0</v>
      </c>
      <c r="I536" s="17">
        <f>ROUND(0,2)</f>
        <v>0</v>
      </c>
      <c r="J536" s="17"/>
      <c r="K536" s="17">
        <f>ROUND(0,2)</f>
        <v>0</v>
      </c>
      <c r="L536" s="17"/>
      <c r="M536" s="17">
        <f>ROUND(0,2)</f>
        <v>0</v>
      </c>
      <c r="N536" s="17">
        <f>ROUND(0,2)</f>
        <v>0</v>
      </c>
      <c r="O536" s="17">
        <f>ROUND(13.6199999999999,2)</f>
        <v>13.62</v>
      </c>
      <c r="P536" s="18">
        <v>99.79834351486365</v>
      </c>
      <c r="Q536" s="18">
        <v>100</v>
      </c>
    </row>
    <row r="537" spans="1:17" ht="12.75" customHeight="1">
      <c r="A537" s="10"/>
      <c r="B537" s="11" t="s">
        <v>361</v>
      </c>
      <c r="C537" s="11"/>
      <c r="D537" s="11"/>
      <c r="E537" s="12">
        <f>ROUND(16848.16,2)</f>
        <v>16848.16</v>
      </c>
      <c r="F537" s="12">
        <f>ROUND(151.63,2)</f>
        <v>151.63</v>
      </c>
      <c r="G537" s="12">
        <f>ROUND(16999.79,2)</f>
        <v>16999.79</v>
      </c>
      <c r="H537" s="12">
        <f>ROUND(16904.02,2)</f>
        <v>16904.02</v>
      </c>
      <c r="I537" s="13">
        <f>ROUND(16904.02,2)</f>
        <v>16904.02</v>
      </c>
      <c r="J537" s="13"/>
      <c r="K537" s="13">
        <f>ROUND(16904.02,2)</f>
        <v>16904.02</v>
      </c>
      <c r="L537" s="13"/>
      <c r="M537" s="12">
        <f>ROUND(16904.02,2)</f>
        <v>16904.02</v>
      </c>
      <c r="N537" s="12">
        <f>ROUND(16904.02,2)</f>
        <v>16904.02</v>
      </c>
      <c r="O537" s="12">
        <f>ROUND(95.77,2)</f>
        <v>95.77</v>
      </c>
      <c r="P537" s="14">
        <v>0.5633599003281805</v>
      </c>
      <c r="Q537" s="14">
        <v>99.43664009967182</v>
      </c>
    </row>
    <row r="538" spans="1:17" ht="12.75" customHeight="1">
      <c r="A538" s="15" t="s">
        <v>362</v>
      </c>
      <c r="B538" s="15"/>
      <c r="C538" s="15"/>
      <c r="D538" s="15"/>
      <c r="E538" s="16" t="s">
        <v>41</v>
      </c>
      <c r="F538" s="17">
        <f>ROUND(0,2)</f>
        <v>0</v>
      </c>
      <c r="G538" s="17">
        <f>ROUND(0,2)</f>
        <v>0</v>
      </c>
      <c r="H538" s="17">
        <f>ROUND(0,2)</f>
        <v>0</v>
      </c>
      <c r="I538" s="17">
        <f>ROUND(0,2)</f>
        <v>0</v>
      </c>
      <c r="J538" s="17"/>
      <c r="K538" s="17">
        <f>ROUND(0,2)</f>
        <v>0</v>
      </c>
      <c r="L538" s="17"/>
      <c r="M538" s="17">
        <f>ROUND(0,2)</f>
        <v>0</v>
      </c>
      <c r="N538" s="17">
        <f>ROUND(0,2)</f>
        <v>0</v>
      </c>
      <c r="O538" s="17">
        <f>ROUND(95.7700000000004,2)</f>
        <v>95.77</v>
      </c>
      <c r="P538" s="18">
        <v>99.43664009967182</v>
      </c>
      <c r="Q538" s="18">
        <v>100</v>
      </c>
    </row>
    <row r="539" spans="1:17" ht="12.75" customHeight="1">
      <c r="A539" s="19" t="s">
        <v>57</v>
      </c>
      <c r="B539" s="19"/>
      <c r="C539" s="19"/>
      <c r="D539" s="19"/>
      <c r="E539" s="20">
        <f>SUM('DS1'!$A$129:$A$131)</f>
        <v>25367.66</v>
      </c>
      <c r="F539" s="20">
        <v>228.3</v>
      </c>
      <c r="G539" s="20">
        <v>25595.96</v>
      </c>
      <c r="H539" s="20">
        <v>25485.98</v>
      </c>
      <c r="I539" s="21">
        <v>25485.98</v>
      </c>
      <c r="J539" s="21"/>
      <c r="K539" s="21">
        <v>25485.98</v>
      </c>
      <c r="L539" s="21"/>
      <c r="M539" s="20">
        <v>25485.98</v>
      </c>
      <c r="N539" s="20">
        <v>25485.98</v>
      </c>
      <c r="O539" s="20">
        <v>109.98</v>
      </c>
      <c r="P539" s="22">
        <v>0.4296771834305101</v>
      </c>
      <c r="Q539" s="22">
        <v>99.57032281656949</v>
      </c>
    </row>
    <row r="540" spans="1:17" ht="12.75" customHeight="1">
      <c r="A540" s="23"/>
      <c r="B540" s="24"/>
      <c r="C540" s="24"/>
      <c r="D540" s="24"/>
      <c r="E540" s="23"/>
      <c r="F540" s="20">
        <v>0</v>
      </c>
      <c r="G540" s="20">
        <v>0</v>
      </c>
      <c r="H540" s="20">
        <v>0</v>
      </c>
      <c r="I540" s="21">
        <v>0</v>
      </c>
      <c r="J540" s="21"/>
      <c r="K540" s="21">
        <v>0</v>
      </c>
      <c r="L540" s="21"/>
      <c r="M540" s="20">
        <v>0</v>
      </c>
      <c r="N540" s="20">
        <v>0</v>
      </c>
      <c r="O540" s="20">
        <v>109.98000000000047</v>
      </c>
      <c r="P540" s="22">
        <v>99.57032281656949</v>
      </c>
      <c r="Q540" s="22">
        <v>100</v>
      </c>
    </row>
    <row r="541" spans="1:17" ht="20.25" customHeight="1">
      <c r="A541" s="23"/>
      <c r="B541" s="24"/>
      <c r="C541" s="24"/>
      <c r="D541" s="24"/>
      <c r="E541" s="23"/>
      <c r="F541" s="23"/>
      <c r="G541" s="23"/>
      <c r="H541" s="23"/>
      <c r="I541" s="24"/>
      <c r="J541" s="24"/>
      <c r="K541" s="24"/>
      <c r="L541" s="24"/>
      <c r="M541" s="23"/>
      <c r="N541" s="23"/>
      <c r="O541" s="23"/>
      <c r="P541" s="23"/>
      <c r="Q541" s="23"/>
    </row>
    <row r="542" spans="1:17" ht="12.75" customHeight="1">
      <c r="A542" s="10"/>
      <c r="B542" s="11" t="s">
        <v>363</v>
      </c>
      <c r="C542" s="11"/>
      <c r="D542" s="11"/>
      <c r="E542" s="12">
        <f>ROUND(12993.62,2)</f>
        <v>12993.62</v>
      </c>
      <c r="F542" s="12">
        <f>ROUND(116.94,2)</f>
        <v>116.94</v>
      </c>
      <c r="G542" s="12">
        <f>ROUND(13110.56,2)</f>
        <v>13110.56</v>
      </c>
      <c r="H542" s="12">
        <f>ROUND(12061.74,2)</f>
        <v>12061.74</v>
      </c>
      <c r="I542" s="13">
        <f>ROUND(12061.74,2)</f>
        <v>12061.74</v>
      </c>
      <c r="J542" s="13"/>
      <c r="K542" s="13">
        <f>ROUND(12061.74,2)</f>
        <v>12061.74</v>
      </c>
      <c r="L542" s="13"/>
      <c r="M542" s="12">
        <f>ROUND(12061.74,2)</f>
        <v>12061.74</v>
      </c>
      <c r="N542" s="12">
        <f>ROUND(12061.74,2)</f>
        <v>12061.74</v>
      </c>
      <c r="O542" s="12">
        <f>ROUND(1048.82,2)</f>
        <v>1048.82</v>
      </c>
      <c r="P542" s="14">
        <v>7.999810839506473</v>
      </c>
      <c r="Q542" s="14">
        <v>92.00018916049352</v>
      </c>
    </row>
    <row r="543" spans="1:17" ht="12.75" customHeight="1">
      <c r="A543" s="15" t="s">
        <v>364</v>
      </c>
      <c r="B543" s="15"/>
      <c r="C543" s="15"/>
      <c r="D543" s="15"/>
      <c r="E543" s="16" t="s">
        <v>41</v>
      </c>
      <c r="F543" s="17">
        <f>ROUND(0,2)</f>
        <v>0</v>
      </c>
      <c r="G543" s="17">
        <f>ROUND(0,2)</f>
        <v>0</v>
      </c>
      <c r="H543" s="17">
        <f>ROUND(0,2)</f>
        <v>0</v>
      </c>
      <c r="I543" s="17">
        <f>ROUND(0,2)</f>
        <v>0</v>
      </c>
      <c r="J543" s="17"/>
      <c r="K543" s="17">
        <f>ROUND(0,2)</f>
        <v>0</v>
      </c>
      <c r="L543" s="17"/>
      <c r="M543" s="17">
        <f>ROUND(0,2)</f>
        <v>0</v>
      </c>
      <c r="N543" s="17">
        <f>ROUND(0,2)</f>
        <v>0</v>
      </c>
      <c r="O543" s="17">
        <f>ROUND(1048.82,2)</f>
        <v>1048.82</v>
      </c>
      <c r="P543" s="18">
        <v>92.00018916049352</v>
      </c>
      <c r="Q543" s="18">
        <v>100</v>
      </c>
    </row>
    <row r="544" spans="1:17" ht="12.75" customHeight="1">
      <c r="A544" s="19" t="s">
        <v>68</v>
      </c>
      <c r="B544" s="19"/>
      <c r="C544" s="19"/>
      <c r="D544" s="19"/>
      <c r="E544" s="20">
        <f>SUM('DS1'!$A$132)</f>
        <v>12993.62</v>
      </c>
      <c r="F544" s="20">
        <v>116.94</v>
      </c>
      <c r="G544" s="20">
        <v>13110.560000000001</v>
      </c>
      <c r="H544" s="20">
        <v>12061.74</v>
      </c>
      <c r="I544" s="21">
        <v>12061.74</v>
      </c>
      <c r="J544" s="21"/>
      <c r="K544" s="21">
        <v>12061.74</v>
      </c>
      <c r="L544" s="21"/>
      <c r="M544" s="20">
        <v>12061.74</v>
      </c>
      <c r="N544" s="20">
        <v>12061.74</v>
      </c>
      <c r="O544" s="20">
        <v>1048.82</v>
      </c>
      <c r="P544" s="22">
        <v>7.999810839506473</v>
      </c>
      <c r="Q544" s="22">
        <v>92.00018916049352</v>
      </c>
    </row>
    <row r="545" spans="1:17" ht="12.75" customHeight="1">
      <c r="A545" s="23"/>
      <c r="B545" s="24"/>
      <c r="C545" s="24"/>
      <c r="D545" s="24"/>
      <c r="E545" s="23"/>
      <c r="F545" s="20">
        <v>0</v>
      </c>
      <c r="G545" s="20">
        <v>0</v>
      </c>
      <c r="H545" s="20">
        <v>0</v>
      </c>
      <c r="I545" s="21">
        <v>0</v>
      </c>
      <c r="J545" s="21"/>
      <c r="K545" s="21">
        <v>0</v>
      </c>
      <c r="L545" s="21"/>
      <c r="M545" s="20">
        <v>0</v>
      </c>
      <c r="N545" s="20">
        <v>0</v>
      </c>
      <c r="O545" s="20">
        <v>1048.8200000000015</v>
      </c>
      <c r="P545" s="22">
        <v>92.00018916049352</v>
      </c>
      <c r="Q545" s="22">
        <v>100</v>
      </c>
    </row>
    <row r="546" spans="1:17" ht="20.25" customHeight="1">
      <c r="A546" s="23"/>
      <c r="B546" s="24"/>
      <c r="C546" s="24"/>
      <c r="D546" s="24"/>
      <c r="E546" s="23"/>
      <c r="F546" s="23"/>
      <c r="G546" s="23"/>
      <c r="H546" s="23"/>
      <c r="I546" s="24"/>
      <c r="J546" s="24"/>
      <c r="K546" s="24"/>
      <c r="L546" s="24"/>
      <c r="M546" s="23"/>
      <c r="N546" s="23"/>
      <c r="O546" s="23"/>
      <c r="P546" s="23"/>
      <c r="Q546" s="23"/>
    </row>
    <row r="547" spans="1:17" ht="12.75" customHeight="1">
      <c r="A547" s="10"/>
      <c r="B547" s="11" t="s">
        <v>365</v>
      </c>
      <c r="C547" s="11"/>
      <c r="D547" s="11"/>
      <c r="E547" s="12">
        <f>ROUND(600,2)</f>
        <v>600</v>
      </c>
      <c r="F547" s="12">
        <f aca="true" t="shared" si="283" ref="F547:F548">ROUND(0,2)</f>
        <v>0</v>
      </c>
      <c r="G547" s="12">
        <f>ROUND(600,2)</f>
        <v>600</v>
      </c>
      <c r="H547" s="12">
        <f aca="true" t="shared" si="284" ref="H547:H548">ROUND(0,2)</f>
        <v>0</v>
      </c>
      <c r="I547" s="13">
        <f aca="true" t="shared" si="285" ref="I547:I548">ROUND(0,2)</f>
        <v>0</v>
      </c>
      <c r="J547" s="13"/>
      <c r="K547" s="13">
        <f aca="true" t="shared" si="286" ref="K547:K548">ROUND(0,2)</f>
        <v>0</v>
      </c>
      <c r="L547" s="13"/>
      <c r="M547" s="12">
        <f aca="true" t="shared" si="287" ref="M547:M548">ROUND(0,2)</f>
        <v>0</v>
      </c>
      <c r="N547" s="12">
        <f aca="true" t="shared" si="288" ref="N547:N548">ROUND(0,2)</f>
        <v>0</v>
      </c>
      <c r="O547" s="12">
        <f aca="true" t="shared" si="289" ref="O547:O548">ROUND(600,2)</f>
        <v>600</v>
      </c>
      <c r="P547" s="14">
        <v>100</v>
      </c>
      <c r="Q547" s="14">
        <v>0</v>
      </c>
    </row>
    <row r="548" spans="1:17" ht="12.75" customHeight="1">
      <c r="A548" s="15" t="s">
        <v>366</v>
      </c>
      <c r="B548" s="15"/>
      <c r="C548" s="15"/>
      <c r="D548" s="15"/>
      <c r="E548" s="16" t="s">
        <v>367</v>
      </c>
      <c r="F548" s="17">
        <f t="shared" si="283"/>
        <v>0</v>
      </c>
      <c r="G548" s="17">
        <f>ROUND(0,2)</f>
        <v>0</v>
      </c>
      <c r="H548" s="17">
        <f t="shared" si="284"/>
        <v>0</v>
      </c>
      <c r="I548" s="17">
        <f t="shared" si="285"/>
        <v>0</v>
      </c>
      <c r="J548" s="17"/>
      <c r="K548" s="17">
        <f t="shared" si="286"/>
        <v>0</v>
      </c>
      <c r="L548" s="17"/>
      <c r="M548" s="17">
        <f t="shared" si="287"/>
        <v>0</v>
      </c>
      <c r="N548" s="17">
        <f t="shared" si="288"/>
        <v>0</v>
      </c>
      <c r="O548" s="17">
        <f t="shared" si="289"/>
        <v>600</v>
      </c>
      <c r="P548" s="18">
        <v>0</v>
      </c>
      <c r="Q548" s="18">
        <v>0</v>
      </c>
    </row>
    <row r="549" spans="1:17" ht="12.75" customHeight="1">
      <c r="A549" s="19" t="s">
        <v>368</v>
      </c>
      <c r="B549" s="19"/>
      <c r="C549" s="19"/>
      <c r="D549" s="19"/>
      <c r="E549" s="20">
        <f>SUM('DS1'!$A$133)</f>
        <v>600</v>
      </c>
      <c r="F549" s="20">
        <v>0</v>
      </c>
      <c r="G549" s="20">
        <v>600</v>
      </c>
      <c r="H549" s="20">
        <v>0</v>
      </c>
      <c r="I549" s="21">
        <v>0</v>
      </c>
      <c r="J549" s="21"/>
      <c r="K549" s="21">
        <v>0</v>
      </c>
      <c r="L549" s="21"/>
      <c r="M549" s="20">
        <v>0</v>
      </c>
      <c r="N549" s="20">
        <v>0</v>
      </c>
      <c r="O549" s="20">
        <v>600</v>
      </c>
      <c r="P549" s="22">
        <v>100</v>
      </c>
      <c r="Q549" s="22">
        <v>0</v>
      </c>
    </row>
    <row r="550" spans="1:17" ht="12.75" customHeight="1">
      <c r="A550" s="23"/>
      <c r="B550" s="24"/>
      <c r="C550" s="24"/>
      <c r="D550" s="24"/>
      <c r="E550" s="23"/>
      <c r="F550" s="20">
        <v>0</v>
      </c>
      <c r="G550" s="20">
        <v>0</v>
      </c>
      <c r="H550" s="20">
        <v>0</v>
      </c>
      <c r="I550" s="21">
        <v>0</v>
      </c>
      <c r="J550" s="21"/>
      <c r="K550" s="21">
        <v>0</v>
      </c>
      <c r="L550" s="21"/>
      <c r="M550" s="20">
        <v>0</v>
      </c>
      <c r="N550" s="20">
        <v>0</v>
      </c>
      <c r="O550" s="20">
        <v>600</v>
      </c>
      <c r="P550" s="22">
        <v>0</v>
      </c>
      <c r="Q550" s="22">
        <v>0</v>
      </c>
    </row>
    <row r="551" spans="1:17" ht="20.25" customHeight="1">
      <c r="A551" s="23"/>
      <c r="B551" s="24"/>
      <c r="C551" s="24"/>
      <c r="D551" s="24"/>
      <c r="E551" s="23"/>
      <c r="F551" s="23"/>
      <c r="G551" s="23"/>
      <c r="H551" s="23"/>
      <c r="I551" s="24"/>
      <c r="J551" s="24"/>
      <c r="K551" s="24"/>
      <c r="L551" s="24"/>
      <c r="M551" s="23"/>
      <c r="N551" s="23"/>
      <c r="O551" s="23"/>
      <c r="P551" s="23"/>
      <c r="Q551" s="23"/>
    </row>
    <row r="552" spans="1:17" ht="12.75" customHeight="1">
      <c r="A552" s="10"/>
      <c r="B552" s="11" t="s">
        <v>369</v>
      </c>
      <c r="C552" s="11"/>
      <c r="D552" s="11"/>
      <c r="E552" s="12">
        <f>ROUND(2500,2)</f>
        <v>2500</v>
      </c>
      <c r="F552" s="12">
        <f aca="true" t="shared" si="290" ref="F552:F553">ROUND(0,2)</f>
        <v>0</v>
      </c>
      <c r="G552" s="12">
        <f>ROUND(2500,2)</f>
        <v>2500</v>
      </c>
      <c r="H552" s="12">
        <f aca="true" t="shared" si="291" ref="H552:H553">ROUND(0,2)</f>
        <v>0</v>
      </c>
      <c r="I552" s="13">
        <f aca="true" t="shared" si="292" ref="I552:I553">ROUND(0,2)</f>
        <v>0</v>
      </c>
      <c r="J552" s="13"/>
      <c r="K552" s="13">
        <f aca="true" t="shared" si="293" ref="K552:K553">ROUND(0,2)</f>
        <v>0</v>
      </c>
      <c r="L552" s="13"/>
      <c r="M552" s="12">
        <f aca="true" t="shared" si="294" ref="M552:M553">ROUND(0,2)</f>
        <v>0</v>
      </c>
      <c r="N552" s="12">
        <f aca="true" t="shared" si="295" ref="N552:N553">ROUND(0,2)</f>
        <v>0</v>
      </c>
      <c r="O552" s="12">
        <f aca="true" t="shared" si="296" ref="O552:O553">ROUND(2500,2)</f>
        <v>2500</v>
      </c>
      <c r="P552" s="14">
        <v>100</v>
      </c>
      <c r="Q552" s="14">
        <v>0</v>
      </c>
    </row>
    <row r="553" spans="1:17" ht="12.75" customHeight="1">
      <c r="A553" s="15" t="s">
        <v>370</v>
      </c>
      <c r="B553" s="15"/>
      <c r="C553" s="15"/>
      <c r="D553" s="15"/>
      <c r="E553" s="16" t="s">
        <v>367</v>
      </c>
      <c r="F553" s="17">
        <f t="shared" si="290"/>
        <v>0</v>
      </c>
      <c r="G553" s="17">
        <f>ROUND(0,2)</f>
        <v>0</v>
      </c>
      <c r="H553" s="17">
        <f t="shared" si="291"/>
        <v>0</v>
      </c>
      <c r="I553" s="17">
        <f t="shared" si="292"/>
        <v>0</v>
      </c>
      <c r="J553" s="17"/>
      <c r="K553" s="17">
        <f t="shared" si="293"/>
        <v>0</v>
      </c>
      <c r="L553" s="17"/>
      <c r="M553" s="17">
        <f t="shared" si="294"/>
        <v>0</v>
      </c>
      <c r="N553" s="17">
        <f t="shared" si="295"/>
        <v>0</v>
      </c>
      <c r="O553" s="17">
        <f t="shared" si="296"/>
        <v>2500</v>
      </c>
      <c r="P553" s="18">
        <v>0</v>
      </c>
      <c r="Q553" s="18">
        <v>0</v>
      </c>
    </row>
    <row r="554" spans="1:17" ht="12.75" customHeight="1">
      <c r="A554" s="19" t="s">
        <v>304</v>
      </c>
      <c r="B554" s="19"/>
      <c r="C554" s="19"/>
      <c r="D554" s="19"/>
      <c r="E554" s="20">
        <f>SUM('DS1'!$A$134)</f>
        <v>2500</v>
      </c>
      <c r="F554" s="20">
        <v>0</v>
      </c>
      <c r="G554" s="20">
        <v>2500</v>
      </c>
      <c r="H554" s="20">
        <v>0</v>
      </c>
      <c r="I554" s="21">
        <v>0</v>
      </c>
      <c r="J554" s="21"/>
      <c r="K554" s="21">
        <v>0</v>
      </c>
      <c r="L554" s="21"/>
      <c r="M554" s="20">
        <v>0</v>
      </c>
      <c r="N554" s="20">
        <v>0</v>
      </c>
      <c r="O554" s="20">
        <v>2500</v>
      </c>
      <c r="P554" s="22">
        <v>100</v>
      </c>
      <c r="Q554" s="22">
        <v>0</v>
      </c>
    </row>
    <row r="555" spans="1:17" ht="12.75" customHeight="1">
      <c r="A555" s="23"/>
      <c r="B555" s="24"/>
      <c r="C555" s="24"/>
      <c r="D555" s="24"/>
      <c r="E555" s="23"/>
      <c r="F555" s="20">
        <v>0</v>
      </c>
      <c r="G555" s="20">
        <v>0</v>
      </c>
      <c r="H555" s="20">
        <v>0</v>
      </c>
      <c r="I555" s="21">
        <v>0</v>
      </c>
      <c r="J555" s="21"/>
      <c r="K555" s="21">
        <v>0</v>
      </c>
      <c r="L555" s="21"/>
      <c r="M555" s="20">
        <v>0</v>
      </c>
      <c r="N555" s="20">
        <v>0</v>
      </c>
      <c r="O555" s="20">
        <v>2500</v>
      </c>
      <c r="P555" s="22">
        <v>0</v>
      </c>
      <c r="Q555" s="22">
        <v>0</v>
      </c>
    </row>
    <row r="556" spans="1:17" ht="20.25" customHeight="1">
      <c r="A556" s="23"/>
      <c r="B556" s="24"/>
      <c r="C556" s="24"/>
      <c r="D556" s="24"/>
      <c r="E556" s="23"/>
      <c r="F556" s="23"/>
      <c r="G556" s="23"/>
      <c r="H556" s="23"/>
      <c r="I556" s="24"/>
      <c r="J556" s="24"/>
      <c r="K556" s="24"/>
      <c r="L556" s="24"/>
      <c r="M556" s="23"/>
      <c r="N556" s="23"/>
      <c r="O556" s="23"/>
      <c r="P556" s="23"/>
      <c r="Q556" s="23"/>
    </row>
    <row r="557" spans="1:17" ht="12.75" customHeight="1">
      <c r="A557" s="10"/>
      <c r="B557" s="11" t="s">
        <v>371</v>
      </c>
      <c r="C557" s="11"/>
      <c r="D557" s="11"/>
      <c r="E557" s="12">
        <f>ROUND(30000,2)</f>
        <v>30000</v>
      </c>
      <c r="F557" s="12">
        <f>ROUND(10000,2)</f>
        <v>10000</v>
      </c>
      <c r="G557" s="12">
        <f>ROUND(40000,2)</f>
        <v>40000</v>
      </c>
      <c r="H557" s="12">
        <f>ROUND(36975.64,2)</f>
        <v>36975.64</v>
      </c>
      <c r="I557" s="13">
        <f>ROUND(36975.64,2)</f>
        <v>36975.64</v>
      </c>
      <c r="J557" s="13"/>
      <c r="K557" s="13">
        <f>ROUND(36975.64,2)</f>
        <v>36975.64</v>
      </c>
      <c r="L557" s="13"/>
      <c r="M557" s="12">
        <f>ROUND(36975.64,2)</f>
        <v>36975.64</v>
      </c>
      <c r="N557" s="12">
        <f>ROUND(35699.52,2)</f>
        <v>35699.52</v>
      </c>
      <c r="O557" s="12">
        <f>ROUND(3024.36,2)</f>
        <v>3024.36</v>
      </c>
      <c r="P557" s="14">
        <v>7.560900000000001</v>
      </c>
      <c r="Q557" s="14">
        <v>92.4391</v>
      </c>
    </row>
    <row r="558" spans="1:17" ht="12.75" customHeight="1">
      <c r="A558" s="15" t="s">
        <v>372</v>
      </c>
      <c r="B558" s="15"/>
      <c r="C558" s="15"/>
      <c r="D558" s="15"/>
      <c r="E558" s="16" t="s">
        <v>367</v>
      </c>
      <c r="F558" s="17">
        <f>ROUND(0,2)</f>
        <v>0</v>
      </c>
      <c r="G558" s="17">
        <f>ROUND(0,2)</f>
        <v>0</v>
      </c>
      <c r="H558" s="17">
        <f>ROUND(0,2)</f>
        <v>0</v>
      </c>
      <c r="I558" s="17">
        <f>ROUND(0,2)</f>
        <v>0</v>
      </c>
      <c r="J558" s="17"/>
      <c r="K558" s="17">
        <f>ROUND(0,2)</f>
        <v>0</v>
      </c>
      <c r="L558" s="17"/>
      <c r="M558" s="17">
        <f>ROUND(1276.12,2)</f>
        <v>1276.12</v>
      </c>
      <c r="N558" s="17">
        <f>ROUND(0,2)</f>
        <v>0</v>
      </c>
      <c r="O558" s="17">
        <f>ROUND(3024.36,2)</f>
        <v>3024.36</v>
      </c>
      <c r="P558" s="18">
        <v>92.4391</v>
      </c>
      <c r="Q558" s="18">
        <v>96.54875480181005</v>
      </c>
    </row>
    <row r="559" spans="1:17" ht="12.75" customHeight="1">
      <c r="A559" s="19" t="s">
        <v>373</v>
      </c>
      <c r="B559" s="19"/>
      <c r="C559" s="19"/>
      <c r="D559" s="19"/>
      <c r="E559" s="20">
        <f>SUM('DS1'!$A$135)</f>
        <v>30000</v>
      </c>
      <c r="F559" s="20">
        <v>10000</v>
      </c>
      <c r="G559" s="20">
        <v>40000</v>
      </c>
      <c r="H559" s="20">
        <v>36975.64</v>
      </c>
      <c r="I559" s="21">
        <v>36975.64</v>
      </c>
      <c r="J559" s="21"/>
      <c r="K559" s="21">
        <v>36975.64</v>
      </c>
      <c r="L559" s="21"/>
      <c r="M559" s="20">
        <v>36975.64</v>
      </c>
      <c r="N559" s="20">
        <v>35699.52</v>
      </c>
      <c r="O559" s="20">
        <v>3024.36</v>
      </c>
      <c r="P559" s="22">
        <v>7.560900000000001</v>
      </c>
      <c r="Q559" s="22">
        <v>92.4391</v>
      </c>
    </row>
    <row r="560" spans="1:17" ht="12.75" customHeight="1">
      <c r="A560" s="23"/>
      <c r="B560" s="24"/>
      <c r="C560" s="24"/>
      <c r="D560" s="24"/>
      <c r="E560" s="23"/>
      <c r="F560" s="20">
        <v>0</v>
      </c>
      <c r="G560" s="20">
        <v>0</v>
      </c>
      <c r="H560" s="20">
        <v>0</v>
      </c>
      <c r="I560" s="21">
        <v>0</v>
      </c>
      <c r="J560" s="21"/>
      <c r="K560" s="21">
        <v>0</v>
      </c>
      <c r="L560" s="21"/>
      <c r="M560" s="20">
        <v>1276.1200000000026</v>
      </c>
      <c r="N560" s="20">
        <v>0</v>
      </c>
      <c r="O560" s="20">
        <v>3024.3600000000006</v>
      </c>
      <c r="P560" s="22">
        <v>92.4391</v>
      </c>
      <c r="Q560" s="22">
        <v>96.54875480181005</v>
      </c>
    </row>
    <row r="561" spans="1:17" ht="20.25" customHeight="1">
      <c r="A561" s="23"/>
      <c r="B561" s="24"/>
      <c r="C561" s="24"/>
      <c r="D561" s="24"/>
      <c r="E561" s="23"/>
      <c r="F561" s="23"/>
      <c r="G561" s="23"/>
      <c r="H561" s="23"/>
      <c r="I561" s="24"/>
      <c r="J561" s="24"/>
      <c r="K561" s="24"/>
      <c r="L561" s="24"/>
      <c r="M561" s="23"/>
      <c r="N561" s="23"/>
      <c r="O561" s="23"/>
      <c r="P561" s="23"/>
      <c r="Q561" s="23"/>
    </row>
    <row r="562" spans="1:17" ht="12.75" customHeight="1">
      <c r="A562" s="10"/>
      <c r="B562" s="11" t="s">
        <v>374</v>
      </c>
      <c r="C562" s="11"/>
      <c r="D562" s="11"/>
      <c r="E562" s="12">
        <f>ROUND(1000,2)</f>
        <v>1000</v>
      </c>
      <c r="F562" s="12">
        <f aca="true" t="shared" si="297" ref="F562:F563">ROUND(0,2)</f>
        <v>0</v>
      </c>
      <c r="G562" s="12">
        <f>ROUND(1000,2)</f>
        <v>1000</v>
      </c>
      <c r="H562" s="12">
        <f>ROUND(96.85,2)</f>
        <v>96.85</v>
      </c>
      <c r="I562" s="13">
        <f>ROUND(96.85,2)</f>
        <v>96.85</v>
      </c>
      <c r="J562" s="13"/>
      <c r="K562" s="13">
        <f>ROUND(96.85,2)</f>
        <v>96.85</v>
      </c>
      <c r="L562" s="13"/>
      <c r="M562" s="12">
        <f>ROUND(96.85,2)</f>
        <v>96.85</v>
      </c>
      <c r="N562" s="12">
        <f>ROUND(96.85,2)</f>
        <v>96.85</v>
      </c>
      <c r="O562" s="12">
        <f aca="true" t="shared" si="298" ref="O562:O563">ROUND(903.15,2)</f>
        <v>903.15</v>
      </c>
      <c r="P562" s="14">
        <v>90.315</v>
      </c>
      <c r="Q562" s="14">
        <v>9.684999999999999</v>
      </c>
    </row>
    <row r="563" spans="1:17" ht="12.75" customHeight="1">
      <c r="A563" s="15" t="s">
        <v>375</v>
      </c>
      <c r="B563" s="15"/>
      <c r="C563" s="15"/>
      <c r="D563" s="15"/>
      <c r="E563" s="16" t="s">
        <v>334</v>
      </c>
      <c r="F563" s="17">
        <f t="shared" si="297"/>
        <v>0</v>
      </c>
      <c r="G563" s="17">
        <f>ROUND(0,2)</f>
        <v>0</v>
      </c>
      <c r="H563" s="17">
        <f>ROUND(0,2)</f>
        <v>0</v>
      </c>
      <c r="I563" s="17">
        <f>ROUND(0,2)</f>
        <v>0</v>
      </c>
      <c r="J563" s="17"/>
      <c r="K563" s="17">
        <f>ROUND(0,2)</f>
        <v>0</v>
      </c>
      <c r="L563" s="17"/>
      <c r="M563" s="17">
        <f>ROUND(0,2)</f>
        <v>0</v>
      </c>
      <c r="N563" s="17">
        <f>ROUND(0,2)</f>
        <v>0</v>
      </c>
      <c r="O563" s="17">
        <f t="shared" si="298"/>
        <v>903.15</v>
      </c>
      <c r="P563" s="18">
        <v>9.684999999999999</v>
      </c>
      <c r="Q563" s="18">
        <v>100</v>
      </c>
    </row>
    <row r="564" spans="1:17" ht="12.75" customHeight="1">
      <c r="A564" s="19" t="s">
        <v>76</v>
      </c>
      <c r="B564" s="19"/>
      <c r="C564" s="19"/>
      <c r="D564" s="19"/>
      <c r="E564" s="20">
        <f>SUM('DS1'!$A$136)</f>
        <v>1000</v>
      </c>
      <c r="F564" s="20">
        <v>0</v>
      </c>
      <c r="G564" s="20">
        <v>1000</v>
      </c>
      <c r="H564" s="20">
        <v>96.85</v>
      </c>
      <c r="I564" s="21">
        <v>96.85</v>
      </c>
      <c r="J564" s="21"/>
      <c r="K564" s="21">
        <v>96.85</v>
      </c>
      <c r="L564" s="21"/>
      <c r="M564" s="20">
        <v>96.85</v>
      </c>
      <c r="N564" s="20">
        <v>96.85</v>
      </c>
      <c r="O564" s="20">
        <v>903.15</v>
      </c>
      <c r="P564" s="22">
        <v>90.315</v>
      </c>
      <c r="Q564" s="22">
        <v>9.684999999999999</v>
      </c>
    </row>
    <row r="565" spans="1:17" ht="12.75" customHeight="1">
      <c r="A565" s="23"/>
      <c r="B565" s="24"/>
      <c r="C565" s="24"/>
      <c r="D565" s="24"/>
      <c r="E565" s="23"/>
      <c r="F565" s="20">
        <v>0</v>
      </c>
      <c r="G565" s="20">
        <v>0</v>
      </c>
      <c r="H565" s="20">
        <v>0</v>
      </c>
      <c r="I565" s="21">
        <v>0</v>
      </c>
      <c r="J565" s="21"/>
      <c r="K565" s="21">
        <v>0</v>
      </c>
      <c r="L565" s="21"/>
      <c r="M565" s="20">
        <v>0</v>
      </c>
      <c r="N565" s="20">
        <v>0</v>
      </c>
      <c r="O565" s="20">
        <v>903.15</v>
      </c>
      <c r="P565" s="22">
        <v>9.684999999999999</v>
      </c>
      <c r="Q565" s="22">
        <v>100</v>
      </c>
    </row>
    <row r="566" spans="1:17" ht="20.25" customHeight="1">
      <c r="A566" s="23"/>
      <c r="B566" s="24"/>
      <c r="C566" s="24"/>
      <c r="D566" s="24"/>
      <c r="E566" s="23"/>
      <c r="F566" s="23"/>
      <c r="G566" s="23"/>
      <c r="H566" s="23"/>
      <c r="I566" s="24"/>
      <c r="J566" s="24"/>
      <c r="K566" s="24"/>
      <c r="L566" s="24"/>
      <c r="M566" s="23"/>
      <c r="N566" s="23"/>
      <c r="O566" s="23"/>
      <c r="P566" s="23"/>
      <c r="Q566" s="23"/>
    </row>
    <row r="567" spans="1:17" ht="12.75" customHeight="1">
      <c r="A567" s="10"/>
      <c r="B567" s="11" t="s">
        <v>376</v>
      </c>
      <c r="C567" s="11"/>
      <c r="D567" s="11"/>
      <c r="E567" s="12">
        <f>ROUND(15000,2)</f>
        <v>15000</v>
      </c>
      <c r="F567" s="12">
        <f>ROUND(-10000,2)</f>
        <v>-10000</v>
      </c>
      <c r="G567" s="12">
        <f>ROUND(5000,2)</f>
        <v>5000</v>
      </c>
      <c r="H567" s="12">
        <f>ROUND(6800,2)</f>
        <v>6800</v>
      </c>
      <c r="I567" s="13">
        <f>ROUND(6800,2)</f>
        <v>6800</v>
      </c>
      <c r="J567" s="13"/>
      <c r="K567" s="13">
        <f>ROUND(6800,2)</f>
        <v>6800</v>
      </c>
      <c r="L567" s="13"/>
      <c r="M567" s="12">
        <f>ROUND(6800,2)</f>
        <v>6800</v>
      </c>
      <c r="N567" s="12">
        <f>ROUND(6800,2)</f>
        <v>6800</v>
      </c>
      <c r="O567" s="12">
        <f aca="true" t="shared" si="299" ref="O567:O568">ROUND(-1800,2)</f>
        <v>-1800</v>
      </c>
      <c r="P567" s="14">
        <v>-36</v>
      </c>
      <c r="Q567" s="14">
        <v>136</v>
      </c>
    </row>
    <row r="568" spans="1:17" ht="12.75" customHeight="1">
      <c r="A568" s="15" t="s">
        <v>377</v>
      </c>
      <c r="B568" s="15"/>
      <c r="C568" s="15"/>
      <c r="D568" s="15"/>
      <c r="E568" s="16" t="s">
        <v>337</v>
      </c>
      <c r="F568" s="17">
        <f>ROUND(0,2)</f>
        <v>0</v>
      </c>
      <c r="G568" s="17">
        <f>ROUND(0,2)</f>
        <v>0</v>
      </c>
      <c r="H568" s="17">
        <f>ROUND(0,2)</f>
        <v>0</v>
      </c>
      <c r="I568" s="17">
        <f>ROUND(0,2)</f>
        <v>0</v>
      </c>
      <c r="J568" s="17"/>
      <c r="K568" s="17">
        <f>ROUND(0,2)</f>
        <v>0</v>
      </c>
      <c r="L568" s="17"/>
      <c r="M568" s="17">
        <f>ROUND(0,2)</f>
        <v>0</v>
      </c>
      <c r="N568" s="17">
        <f>ROUND(0,2)</f>
        <v>0</v>
      </c>
      <c r="O568" s="17">
        <f t="shared" si="299"/>
        <v>-1800</v>
      </c>
      <c r="P568" s="18">
        <v>45.33333333333333</v>
      </c>
      <c r="Q568" s="18">
        <v>100</v>
      </c>
    </row>
    <row r="569" spans="1:17" ht="12.75" customHeight="1">
      <c r="A569" s="19" t="s">
        <v>37</v>
      </c>
      <c r="B569" s="19"/>
      <c r="C569" s="19"/>
      <c r="D569" s="19"/>
      <c r="E569" s="20">
        <f>SUM('DS1'!$A$137)</f>
        <v>15000</v>
      </c>
      <c r="F569" s="20">
        <v>-10000</v>
      </c>
      <c r="G569" s="20">
        <v>5000</v>
      </c>
      <c r="H569" s="20">
        <v>6800</v>
      </c>
      <c r="I569" s="21">
        <v>6800</v>
      </c>
      <c r="J569" s="21"/>
      <c r="K569" s="21">
        <v>6800</v>
      </c>
      <c r="L569" s="21"/>
      <c r="M569" s="20">
        <v>6800</v>
      </c>
      <c r="N569" s="20">
        <v>6800</v>
      </c>
      <c r="O569" s="20">
        <v>-1800</v>
      </c>
      <c r="P569" s="22">
        <v>-36</v>
      </c>
      <c r="Q569" s="22">
        <v>136</v>
      </c>
    </row>
    <row r="570" spans="1:17" ht="12.75" customHeight="1">
      <c r="A570" s="23"/>
      <c r="B570" s="24"/>
      <c r="C570" s="24"/>
      <c r="D570" s="24"/>
      <c r="E570" s="23"/>
      <c r="F570" s="20">
        <v>0</v>
      </c>
      <c r="G570" s="20">
        <v>0</v>
      </c>
      <c r="H570" s="20">
        <v>0</v>
      </c>
      <c r="I570" s="21">
        <v>0</v>
      </c>
      <c r="J570" s="21"/>
      <c r="K570" s="21">
        <v>0</v>
      </c>
      <c r="L570" s="21"/>
      <c r="M570" s="20">
        <v>0</v>
      </c>
      <c r="N570" s="20">
        <v>0</v>
      </c>
      <c r="O570" s="20">
        <v>-1800</v>
      </c>
      <c r="P570" s="22">
        <v>136</v>
      </c>
      <c r="Q570" s="22">
        <v>100</v>
      </c>
    </row>
    <row r="571" spans="1:17" ht="20.25" customHeight="1">
      <c r="A571" s="23"/>
      <c r="B571" s="24"/>
      <c r="C571" s="24"/>
      <c r="D571" s="24"/>
      <c r="E571" s="23"/>
      <c r="F571" s="23"/>
      <c r="G571" s="23"/>
      <c r="H571" s="23"/>
      <c r="I571" s="24"/>
      <c r="J571" s="24"/>
      <c r="K571" s="24"/>
      <c r="L571" s="24"/>
      <c r="M571" s="23"/>
      <c r="N571" s="23"/>
      <c r="O571" s="23"/>
      <c r="P571" s="23"/>
      <c r="Q571" s="23"/>
    </row>
    <row r="572" spans="1:17" ht="12.75" customHeight="1">
      <c r="A572" s="19" t="s">
        <v>378</v>
      </c>
      <c r="B572" s="19"/>
      <c r="C572" s="19"/>
      <c r="D572" s="19"/>
      <c r="E572" s="20">
        <f>SUM('DS1'!$A$128:$A$137)</f>
        <v>101468.22</v>
      </c>
      <c r="F572" s="20">
        <v>471.2999999999993</v>
      </c>
      <c r="G572" s="20">
        <v>101939.52</v>
      </c>
      <c r="H572" s="20">
        <v>95552.59</v>
      </c>
      <c r="I572" s="21">
        <v>95552.59</v>
      </c>
      <c r="J572" s="21"/>
      <c r="K572" s="21">
        <v>95552.59</v>
      </c>
      <c r="L572" s="21"/>
      <c r="M572" s="20">
        <v>95552.59</v>
      </c>
      <c r="N572" s="20">
        <v>94276.47</v>
      </c>
      <c r="O572" s="20">
        <v>6386.93</v>
      </c>
      <c r="P572" s="22">
        <v>6.265411098659284</v>
      </c>
      <c r="Q572" s="22">
        <v>93.73458890134071</v>
      </c>
    </row>
    <row r="573" spans="1:17" ht="12.75" customHeight="1">
      <c r="A573" s="23"/>
      <c r="B573" s="24"/>
      <c r="C573" s="24"/>
      <c r="D573" s="24"/>
      <c r="E573" s="23"/>
      <c r="F573" s="20">
        <v>0</v>
      </c>
      <c r="G573" s="20">
        <v>0</v>
      </c>
      <c r="H573" s="20">
        <v>0</v>
      </c>
      <c r="I573" s="21">
        <v>0</v>
      </c>
      <c r="J573" s="21"/>
      <c r="K573" s="21">
        <v>0</v>
      </c>
      <c r="L573" s="21"/>
      <c r="M573" s="20">
        <v>1276.1200000000026</v>
      </c>
      <c r="N573" s="20">
        <v>0</v>
      </c>
      <c r="O573" s="20">
        <v>6386.930000000003</v>
      </c>
      <c r="P573" s="22">
        <v>93.73458890134071</v>
      </c>
      <c r="Q573" s="22">
        <v>98.66448413381575</v>
      </c>
    </row>
    <row r="574" spans="1:17" ht="18" customHeight="1">
      <c r="A574" s="23"/>
      <c r="B574" s="24"/>
      <c r="C574" s="24"/>
      <c r="D574" s="24"/>
      <c r="E574" s="23"/>
      <c r="F574" s="23"/>
      <c r="G574" s="23"/>
      <c r="H574" s="23"/>
      <c r="I574" s="24"/>
      <c r="J574" s="24"/>
      <c r="K574" s="24"/>
      <c r="L574" s="24"/>
      <c r="M574" s="23"/>
      <c r="N574" s="23"/>
      <c r="O574" s="23"/>
      <c r="P574" s="23"/>
      <c r="Q574" s="23"/>
    </row>
    <row r="575" spans="1:17" ht="12.75" customHeight="1">
      <c r="A575" s="10"/>
      <c r="B575" s="11" t="s">
        <v>379</v>
      </c>
      <c r="C575" s="11"/>
      <c r="D575" s="11"/>
      <c r="E575" s="12">
        <f>ROUND(0,2)</f>
        <v>0</v>
      </c>
      <c r="F575" s="12">
        <f aca="true" t="shared" si="300" ref="F575:F576">ROUND(0,2)</f>
        <v>0</v>
      </c>
      <c r="G575" s="12">
        <f aca="true" t="shared" si="301" ref="G575:G576">ROUND(0,2)</f>
        <v>0</v>
      </c>
      <c r="H575" s="12">
        <f>ROUND(168.23,2)</f>
        <v>168.23</v>
      </c>
      <c r="I575" s="13">
        <f>ROUND(168.23,2)</f>
        <v>168.23</v>
      </c>
      <c r="J575" s="13"/>
      <c r="K575" s="13">
        <f>ROUND(168.23,2)</f>
        <v>168.23</v>
      </c>
      <c r="L575" s="13"/>
      <c r="M575" s="12">
        <f>ROUND(168.23,2)</f>
        <v>168.23</v>
      </c>
      <c r="N575" s="12">
        <f>ROUND(168.23,2)</f>
        <v>168.23</v>
      </c>
      <c r="O575" s="12">
        <f aca="true" t="shared" si="302" ref="O575:O576">ROUND(-168.23,2)</f>
        <v>-168.23</v>
      </c>
      <c r="P575" s="14">
        <v>0</v>
      </c>
      <c r="Q575" s="14">
        <v>0</v>
      </c>
    </row>
    <row r="576" spans="1:17" ht="12.75" customHeight="1">
      <c r="A576" s="15" t="s">
        <v>380</v>
      </c>
      <c r="B576" s="15"/>
      <c r="C576" s="15"/>
      <c r="D576" s="15"/>
      <c r="E576" s="16" t="s">
        <v>381</v>
      </c>
      <c r="F576" s="17">
        <f t="shared" si="300"/>
        <v>0</v>
      </c>
      <c r="G576" s="17">
        <f t="shared" si="301"/>
        <v>0</v>
      </c>
      <c r="H576" s="17">
        <f>ROUND(0,2)</f>
        <v>0</v>
      </c>
      <c r="I576" s="17">
        <f>ROUND(0,2)</f>
        <v>0</v>
      </c>
      <c r="J576" s="17"/>
      <c r="K576" s="17">
        <f>ROUND(0,2)</f>
        <v>0</v>
      </c>
      <c r="L576" s="17"/>
      <c r="M576" s="17">
        <f>ROUND(0,2)</f>
        <v>0</v>
      </c>
      <c r="N576" s="17">
        <f>ROUND(0,2)</f>
        <v>0</v>
      </c>
      <c r="O576" s="17">
        <f t="shared" si="302"/>
        <v>-168.23</v>
      </c>
      <c r="P576" s="18">
        <v>0</v>
      </c>
      <c r="Q576" s="18">
        <v>100</v>
      </c>
    </row>
    <row r="577" spans="1:17" ht="12.75" customHeight="1">
      <c r="A577" s="19" t="s">
        <v>68</v>
      </c>
      <c r="B577" s="19"/>
      <c r="C577" s="19"/>
      <c r="D577" s="19"/>
      <c r="E577" s="20">
        <f>SUM('DS1'!$A$138)</f>
        <v>0</v>
      </c>
      <c r="F577" s="20">
        <v>0</v>
      </c>
      <c r="G577" s="20">
        <v>0</v>
      </c>
      <c r="H577" s="20">
        <v>168.23</v>
      </c>
      <c r="I577" s="21">
        <v>168.23</v>
      </c>
      <c r="J577" s="21"/>
      <c r="K577" s="21">
        <v>168.23</v>
      </c>
      <c r="L577" s="21"/>
      <c r="M577" s="20">
        <v>168.23</v>
      </c>
      <c r="N577" s="20">
        <v>168.23</v>
      </c>
      <c r="O577" s="20">
        <v>-168.23</v>
      </c>
      <c r="P577" s="22">
        <v>0</v>
      </c>
      <c r="Q577" s="22">
        <v>0</v>
      </c>
    </row>
    <row r="578" spans="1:17" ht="12.75" customHeight="1">
      <c r="A578" s="23"/>
      <c r="B578" s="24"/>
      <c r="C578" s="24"/>
      <c r="D578" s="24"/>
      <c r="E578" s="23"/>
      <c r="F578" s="20">
        <v>0</v>
      </c>
      <c r="G578" s="20">
        <v>0</v>
      </c>
      <c r="H578" s="20">
        <v>0</v>
      </c>
      <c r="I578" s="21">
        <v>0</v>
      </c>
      <c r="J578" s="21"/>
      <c r="K578" s="21">
        <v>0</v>
      </c>
      <c r="L578" s="21"/>
      <c r="M578" s="20">
        <v>0</v>
      </c>
      <c r="N578" s="20">
        <v>0</v>
      </c>
      <c r="O578" s="20">
        <v>-168.23</v>
      </c>
      <c r="P578" s="22">
        <v>0</v>
      </c>
      <c r="Q578" s="22">
        <v>100</v>
      </c>
    </row>
    <row r="579" spans="1:17" ht="20.25" customHeight="1">
      <c r="A579" s="23"/>
      <c r="B579" s="24"/>
      <c r="C579" s="24"/>
      <c r="D579" s="24"/>
      <c r="E579" s="23"/>
      <c r="F579" s="23"/>
      <c r="G579" s="23"/>
      <c r="H579" s="23"/>
      <c r="I579" s="24"/>
      <c r="J579" s="24"/>
      <c r="K579" s="24"/>
      <c r="L579" s="24"/>
      <c r="M579" s="23"/>
      <c r="N579" s="23"/>
      <c r="O579" s="23"/>
      <c r="P579" s="23"/>
      <c r="Q579" s="23"/>
    </row>
    <row r="580" spans="1:17" ht="12.75" customHeight="1">
      <c r="A580" s="10"/>
      <c r="B580" s="11" t="s">
        <v>382</v>
      </c>
      <c r="C580" s="11"/>
      <c r="D580" s="11"/>
      <c r="E580" s="12">
        <f>ROUND(3000,2)</f>
        <v>3000</v>
      </c>
      <c r="F580" s="12">
        <f aca="true" t="shared" si="303" ref="F580:F581">ROUND(0,2)</f>
        <v>0</v>
      </c>
      <c r="G580" s="12">
        <f>ROUND(3000,2)</f>
        <v>3000</v>
      </c>
      <c r="H580" s="12">
        <f>ROUND(2893.04,2)</f>
        <v>2893.04</v>
      </c>
      <c r="I580" s="13">
        <f>ROUND(2893.04,2)</f>
        <v>2893.04</v>
      </c>
      <c r="J580" s="13"/>
      <c r="K580" s="13">
        <f>ROUND(2893.04,2)</f>
        <v>2893.04</v>
      </c>
      <c r="L580" s="13"/>
      <c r="M580" s="12">
        <f>ROUND(2893.04,2)</f>
        <v>2893.04</v>
      </c>
      <c r="N580" s="12">
        <f>ROUND(2893.04,2)</f>
        <v>2893.04</v>
      </c>
      <c r="O580" s="12">
        <f>ROUND(106.96,2)</f>
        <v>106.96</v>
      </c>
      <c r="P580" s="14">
        <v>3.565333333333333</v>
      </c>
      <c r="Q580" s="14">
        <v>96.43466666666667</v>
      </c>
    </row>
    <row r="581" spans="1:17" ht="12.75" customHeight="1">
      <c r="A581" s="15" t="s">
        <v>383</v>
      </c>
      <c r="B581" s="15"/>
      <c r="C581" s="15"/>
      <c r="D581" s="15"/>
      <c r="E581" s="16" t="s">
        <v>381</v>
      </c>
      <c r="F581" s="17">
        <f t="shared" si="303"/>
        <v>0</v>
      </c>
      <c r="G581" s="17">
        <f>ROUND(0,2)</f>
        <v>0</v>
      </c>
      <c r="H581" s="17">
        <f>ROUND(0,2)</f>
        <v>0</v>
      </c>
      <c r="I581" s="17">
        <f>ROUND(0,2)</f>
        <v>0</v>
      </c>
      <c r="J581" s="17"/>
      <c r="K581" s="17">
        <f>ROUND(0,2)</f>
        <v>0</v>
      </c>
      <c r="L581" s="17"/>
      <c r="M581" s="17">
        <f>ROUND(0,2)</f>
        <v>0</v>
      </c>
      <c r="N581" s="17">
        <f>ROUND(0,2)</f>
        <v>0</v>
      </c>
      <c r="O581" s="17">
        <f>ROUND(106.96,2)</f>
        <v>106.96</v>
      </c>
      <c r="P581" s="18">
        <v>96.43466666666667</v>
      </c>
      <c r="Q581" s="18">
        <v>100</v>
      </c>
    </row>
    <row r="582" spans="1:17" ht="12.75" customHeight="1">
      <c r="A582" s="19" t="s">
        <v>384</v>
      </c>
      <c r="B582" s="19"/>
      <c r="C582" s="19"/>
      <c r="D582" s="19"/>
      <c r="E582" s="20">
        <f>SUM('DS1'!$A$139)</f>
        <v>3000</v>
      </c>
      <c r="F582" s="20">
        <v>0</v>
      </c>
      <c r="G582" s="20">
        <v>3000</v>
      </c>
      <c r="H582" s="20">
        <v>2893.04</v>
      </c>
      <c r="I582" s="21">
        <v>2893.04</v>
      </c>
      <c r="J582" s="21"/>
      <c r="K582" s="21">
        <v>2893.04</v>
      </c>
      <c r="L582" s="21"/>
      <c r="M582" s="20">
        <v>2893.04</v>
      </c>
      <c r="N582" s="20">
        <v>2893.04</v>
      </c>
      <c r="O582" s="20">
        <v>106.96</v>
      </c>
      <c r="P582" s="22">
        <v>3.565333333333333</v>
      </c>
      <c r="Q582" s="22">
        <v>96.43466666666667</v>
      </c>
    </row>
    <row r="583" spans="1:17" ht="12.75" customHeight="1">
      <c r="A583" s="23"/>
      <c r="B583" s="24"/>
      <c r="C583" s="24"/>
      <c r="D583" s="24"/>
      <c r="E583" s="23"/>
      <c r="F583" s="20">
        <v>0</v>
      </c>
      <c r="G583" s="20">
        <v>0</v>
      </c>
      <c r="H583" s="20">
        <v>0</v>
      </c>
      <c r="I583" s="21">
        <v>0</v>
      </c>
      <c r="J583" s="21"/>
      <c r="K583" s="21">
        <v>0</v>
      </c>
      <c r="L583" s="21"/>
      <c r="M583" s="20">
        <v>0</v>
      </c>
      <c r="N583" s="20">
        <v>0</v>
      </c>
      <c r="O583" s="20">
        <v>106.96000000000004</v>
      </c>
      <c r="P583" s="22">
        <v>96.43466666666667</v>
      </c>
      <c r="Q583" s="22">
        <v>100</v>
      </c>
    </row>
    <row r="584" spans="1:17" ht="20.25" customHeight="1">
      <c r="A584" s="23"/>
      <c r="B584" s="24"/>
      <c r="C584" s="24"/>
      <c r="D584" s="24"/>
      <c r="E584" s="23"/>
      <c r="F584" s="23"/>
      <c r="G584" s="23"/>
      <c r="H584" s="23"/>
      <c r="I584" s="24"/>
      <c r="J584" s="24"/>
      <c r="K584" s="24"/>
      <c r="L584" s="24"/>
      <c r="M584" s="23"/>
      <c r="N584" s="23"/>
      <c r="O584" s="23"/>
      <c r="P584" s="23"/>
      <c r="Q584" s="23"/>
    </row>
    <row r="585" spans="1:17" ht="12.75" customHeight="1">
      <c r="A585" s="10"/>
      <c r="B585" s="11" t="s">
        <v>385</v>
      </c>
      <c r="C585" s="11"/>
      <c r="D585" s="11"/>
      <c r="E585" s="12">
        <f>ROUND(0,2)</f>
        <v>0</v>
      </c>
      <c r="F585" s="12">
        <f aca="true" t="shared" si="304" ref="F585:F594">ROUND(0,2)</f>
        <v>0</v>
      </c>
      <c r="G585" s="12">
        <f aca="true" t="shared" si="305" ref="G585:G586">ROUND(0,2)</f>
        <v>0</v>
      </c>
      <c r="H585" s="12">
        <f>ROUND(13149.17,2)</f>
        <v>13149.17</v>
      </c>
      <c r="I585" s="13">
        <f>ROUND(13149.17,2)</f>
        <v>13149.17</v>
      </c>
      <c r="J585" s="13"/>
      <c r="K585" s="13">
        <f>ROUND(13149.17,2)</f>
        <v>13149.17</v>
      </c>
      <c r="L585" s="13"/>
      <c r="M585" s="12">
        <f>ROUND(13149.17,2)</f>
        <v>13149.17</v>
      </c>
      <c r="N585" s="12">
        <f>ROUND(13149.17,2)</f>
        <v>13149.17</v>
      </c>
      <c r="O585" s="12">
        <f aca="true" t="shared" si="306" ref="O585:O586">ROUND(-13149.17,2)</f>
        <v>-13149.17</v>
      </c>
      <c r="P585" s="14">
        <v>0</v>
      </c>
      <c r="Q585" s="14">
        <v>0</v>
      </c>
    </row>
    <row r="586" spans="1:17" ht="12.75" customHeight="1">
      <c r="A586" s="15" t="s">
        <v>386</v>
      </c>
      <c r="B586" s="15"/>
      <c r="C586" s="15"/>
      <c r="D586" s="15"/>
      <c r="E586" s="16" t="s">
        <v>381</v>
      </c>
      <c r="F586" s="17">
        <f t="shared" si="304"/>
        <v>0</v>
      </c>
      <c r="G586" s="17">
        <f t="shared" si="305"/>
        <v>0</v>
      </c>
      <c r="H586" s="17">
        <f>ROUND(0,2)</f>
        <v>0</v>
      </c>
      <c r="I586" s="17">
        <f>ROUND(0,2)</f>
        <v>0</v>
      </c>
      <c r="J586" s="17"/>
      <c r="K586" s="17">
        <f>ROUND(0,2)</f>
        <v>0</v>
      </c>
      <c r="L586" s="17"/>
      <c r="M586" s="17">
        <f>ROUND(0,2)</f>
        <v>0</v>
      </c>
      <c r="N586" s="17">
        <f>ROUND(0,2)</f>
        <v>0</v>
      </c>
      <c r="O586" s="17">
        <f t="shared" si="306"/>
        <v>-13149.17</v>
      </c>
      <c r="P586" s="18">
        <v>0</v>
      </c>
      <c r="Q586" s="18">
        <v>100</v>
      </c>
    </row>
    <row r="587" spans="1:17" ht="12.75" customHeight="1">
      <c r="A587" s="10"/>
      <c r="B587" s="11" t="s">
        <v>387</v>
      </c>
      <c r="C587" s="11"/>
      <c r="D587" s="11"/>
      <c r="E587" s="12">
        <f>ROUND(17000,2)</f>
        <v>17000</v>
      </c>
      <c r="F587" s="12">
        <f t="shared" si="304"/>
        <v>0</v>
      </c>
      <c r="G587" s="12">
        <f>ROUND(17000,2)</f>
        <v>17000</v>
      </c>
      <c r="H587" s="12">
        <f>ROUND(17866.01,2)</f>
        <v>17866.01</v>
      </c>
      <c r="I587" s="13">
        <f>ROUND(17866.01,2)</f>
        <v>17866.01</v>
      </c>
      <c r="J587" s="13"/>
      <c r="K587" s="13">
        <f>ROUND(17866.01,2)</f>
        <v>17866.01</v>
      </c>
      <c r="L587" s="13"/>
      <c r="M587" s="12">
        <f>ROUND(17866.01,2)</f>
        <v>17866.01</v>
      </c>
      <c r="N587" s="12">
        <f>ROUND(17866.01,2)</f>
        <v>17866.01</v>
      </c>
      <c r="O587" s="12">
        <f>ROUND(-866.01,2)</f>
        <v>-866.01</v>
      </c>
      <c r="P587" s="14">
        <v>-5.094176470588235</v>
      </c>
      <c r="Q587" s="14">
        <v>105.09417647058822</v>
      </c>
    </row>
    <row r="588" spans="1:17" ht="12.75" customHeight="1">
      <c r="A588" s="15" t="s">
        <v>388</v>
      </c>
      <c r="B588" s="15"/>
      <c r="C588" s="15"/>
      <c r="D588" s="15"/>
      <c r="E588" s="16" t="s">
        <v>381</v>
      </c>
      <c r="F588" s="17">
        <f t="shared" si="304"/>
        <v>0</v>
      </c>
      <c r="G588" s="17">
        <f>ROUND(0,2)</f>
        <v>0</v>
      </c>
      <c r="H588" s="17">
        <f>ROUND(0,2)</f>
        <v>0</v>
      </c>
      <c r="I588" s="17">
        <f>ROUND(0,2)</f>
        <v>0</v>
      </c>
      <c r="J588" s="17"/>
      <c r="K588" s="17">
        <f>ROUND(0,2)</f>
        <v>0</v>
      </c>
      <c r="L588" s="17"/>
      <c r="M588" s="17">
        <f>ROUND(0,2)</f>
        <v>0</v>
      </c>
      <c r="N588" s="17">
        <f>ROUND(0,2)</f>
        <v>0</v>
      </c>
      <c r="O588" s="17">
        <f>ROUND(-866.009999999998,2)</f>
        <v>-866.01</v>
      </c>
      <c r="P588" s="18">
        <v>105.09417647058822</v>
      </c>
      <c r="Q588" s="18">
        <v>100</v>
      </c>
    </row>
    <row r="589" spans="1:17" ht="12.75" customHeight="1">
      <c r="A589" s="10"/>
      <c r="B589" s="11" t="s">
        <v>389</v>
      </c>
      <c r="C589" s="11"/>
      <c r="D589" s="11"/>
      <c r="E589" s="12">
        <f>ROUND(20000,2)</f>
        <v>20000</v>
      </c>
      <c r="F589" s="12">
        <f t="shared" si="304"/>
        <v>0</v>
      </c>
      <c r="G589" s="12">
        <f>ROUND(20000,2)</f>
        <v>20000</v>
      </c>
      <c r="H589" s="12">
        <f>ROUND(4786.7,2)</f>
        <v>4786.7</v>
      </c>
      <c r="I589" s="13">
        <f>ROUND(4786.7,2)</f>
        <v>4786.7</v>
      </c>
      <c r="J589" s="13"/>
      <c r="K589" s="13">
        <f>ROUND(4786.7,2)</f>
        <v>4786.7</v>
      </c>
      <c r="L589" s="13"/>
      <c r="M589" s="12">
        <f>ROUND(4786.7,2)</f>
        <v>4786.7</v>
      </c>
      <c r="N589" s="12">
        <f>ROUND(4741.7,2)</f>
        <v>4741.7</v>
      </c>
      <c r="O589" s="12">
        <f aca="true" t="shared" si="307" ref="O589:O590">ROUND(15213.3,2)</f>
        <v>15213.3</v>
      </c>
      <c r="P589" s="14">
        <v>76.06649999999999</v>
      </c>
      <c r="Q589" s="14">
        <v>23.9335</v>
      </c>
    </row>
    <row r="590" spans="1:17" ht="12.75" customHeight="1">
      <c r="A590" s="15" t="s">
        <v>390</v>
      </c>
      <c r="B590" s="15"/>
      <c r="C590" s="15"/>
      <c r="D590" s="15"/>
      <c r="E590" s="16" t="s">
        <v>381</v>
      </c>
      <c r="F590" s="17">
        <f t="shared" si="304"/>
        <v>0</v>
      </c>
      <c r="G590" s="17">
        <f>ROUND(0,2)</f>
        <v>0</v>
      </c>
      <c r="H590" s="17">
        <f>ROUND(0,2)</f>
        <v>0</v>
      </c>
      <c r="I590" s="17">
        <f>ROUND(0,2)</f>
        <v>0</v>
      </c>
      <c r="J590" s="17"/>
      <c r="K590" s="17">
        <f>ROUND(0,2)</f>
        <v>0</v>
      </c>
      <c r="L590" s="17"/>
      <c r="M590" s="17">
        <f>ROUND(45,2)</f>
        <v>45</v>
      </c>
      <c r="N590" s="17">
        <f>ROUND(45,2)</f>
        <v>45</v>
      </c>
      <c r="O590" s="17">
        <f t="shared" si="307"/>
        <v>15213.3</v>
      </c>
      <c r="P590" s="18">
        <v>23.9335</v>
      </c>
      <c r="Q590" s="18">
        <v>99.05989512607852</v>
      </c>
    </row>
    <row r="591" spans="1:17" ht="12.75" customHeight="1">
      <c r="A591" s="10"/>
      <c r="B591" s="11" t="s">
        <v>391</v>
      </c>
      <c r="C591" s="11"/>
      <c r="D591" s="11"/>
      <c r="E591" s="12">
        <f>ROUND(118000,2)</f>
        <v>118000</v>
      </c>
      <c r="F591" s="12">
        <f t="shared" si="304"/>
        <v>0</v>
      </c>
      <c r="G591" s="12">
        <f>ROUND(118000,2)</f>
        <v>118000</v>
      </c>
      <c r="H591" s="12">
        <f>ROUND(86363.41,2)</f>
        <v>86363.41</v>
      </c>
      <c r="I591" s="13">
        <f>ROUND(86363.41,2)</f>
        <v>86363.41</v>
      </c>
      <c r="J591" s="13"/>
      <c r="K591" s="13">
        <f>ROUND(86363.41,2)</f>
        <v>86363.41</v>
      </c>
      <c r="L591" s="13"/>
      <c r="M591" s="12">
        <f>ROUND(86363.41,2)</f>
        <v>86363.41</v>
      </c>
      <c r="N591" s="12">
        <f>ROUND(86363.41,2)</f>
        <v>86363.41</v>
      </c>
      <c r="O591" s="12">
        <f>ROUND(31636.59,2)</f>
        <v>31636.59</v>
      </c>
      <c r="P591" s="14">
        <v>26.810669491525424</v>
      </c>
      <c r="Q591" s="14">
        <v>73.18933050847458</v>
      </c>
    </row>
    <row r="592" spans="1:17" ht="12.75" customHeight="1">
      <c r="A592" s="15" t="s">
        <v>392</v>
      </c>
      <c r="B592" s="15"/>
      <c r="C592" s="15"/>
      <c r="D592" s="15"/>
      <c r="E592" s="16" t="s">
        <v>381</v>
      </c>
      <c r="F592" s="17">
        <f t="shared" si="304"/>
        <v>0</v>
      </c>
      <c r="G592" s="17">
        <f>ROUND(0,2)</f>
        <v>0</v>
      </c>
      <c r="H592" s="17">
        <f>ROUND(0,2)</f>
        <v>0</v>
      </c>
      <c r="I592" s="17">
        <f>ROUND(0,2)</f>
        <v>0</v>
      </c>
      <c r="J592" s="17"/>
      <c r="K592" s="17">
        <f>ROUND(0,2)</f>
        <v>0</v>
      </c>
      <c r="L592" s="17"/>
      <c r="M592" s="17">
        <f>ROUND(0,2)</f>
        <v>0</v>
      </c>
      <c r="N592" s="17">
        <f aca="true" t="shared" si="308" ref="N592:N594">ROUND(0,2)</f>
        <v>0</v>
      </c>
      <c r="O592" s="17">
        <f>ROUND(31636.59,2)</f>
        <v>31636.59</v>
      </c>
      <c r="P592" s="18">
        <v>73.18933050847458</v>
      </c>
      <c r="Q592" s="18">
        <v>100</v>
      </c>
    </row>
    <row r="593" spans="1:17" ht="12.75" customHeight="1">
      <c r="A593" s="10"/>
      <c r="B593" s="11" t="s">
        <v>393</v>
      </c>
      <c r="C593" s="11"/>
      <c r="D593" s="11"/>
      <c r="E593" s="12">
        <f>ROUND(30000,2)</f>
        <v>30000</v>
      </c>
      <c r="F593" s="12">
        <f t="shared" si="304"/>
        <v>0</v>
      </c>
      <c r="G593" s="12">
        <f>ROUND(30000,2)</f>
        <v>30000</v>
      </c>
      <c r="H593" s="12">
        <f>ROUND(24128.34,2)</f>
        <v>24128.34</v>
      </c>
      <c r="I593" s="13">
        <f>ROUND(24128.34,2)</f>
        <v>24128.34</v>
      </c>
      <c r="J593" s="13"/>
      <c r="K593" s="13">
        <f>ROUND(24128.34,2)</f>
        <v>24128.34</v>
      </c>
      <c r="L593" s="13"/>
      <c r="M593" s="12">
        <f aca="true" t="shared" si="309" ref="M593:M594">ROUND(24128.34,2)</f>
        <v>24128.34</v>
      </c>
      <c r="N593" s="12">
        <f t="shared" si="308"/>
        <v>0</v>
      </c>
      <c r="O593" s="12">
        <f aca="true" t="shared" si="310" ref="O593:O594">ROUND(5871.66,2)</f>
        <v>5871.66</v>
      </c>
      <c r="P593" s="14">
        <v>19.572200000000002</v>
      </c>
      <c r="Q593" s="14">
        <v>80.4278</v>
      </c>
    </row>
    <row r="594" spans="1:17" ht="12.75" customHeight="1">
      <c r="A594" s="15" t="s">
        <v>394</v>
      </c>
      <c r="B594" s="15"/>
      <c r="C594" s="15"/>
      <c r="D594" s="15"/>
      <c r="E594" s="16" t="s">
        <v>381</v>
      </c>
      <c r="F594" s="17">
        <f t="shared" si="304"/>
        <v>0</v>
      </c>
      <c r="G594" s="17">
        <f>ROUND(0,2)</f>
        <v>0</v>
      </c>
      <c r="H594" s="17">
        <f>ROUND(0,2)</f>
        <v>0</v>
      </c>
      <c r="I594" s="17">
        <f>ROUND(0,2)</f>
        <v>0</v>
      </c>
      <c r="J594" s="17"/>
      <c r="K594" s="17">
        <f>ROUND(0,2)</f>
        <v>0</v>
      </c>
      <c r="L594" s="17"/>
      <c r="M594" s="17">
        <f t="shared" si="309"/>
        <v>24128.34</v>
      </c>
      <c r="N594" s="17">
        <f t="shared" si="308"/>
        <v>0</v>
      </c>
      <c r="O594" s="17">
        <f t="shared" si="310"/>
        <v>5871.66</v>
      </c>
      <c r="P594" s="18">
        <v>80.4278</v>
      </c>
      <c r="Q594" s="18">
        <v>0</v>
      </c>
    </row>
    <row r="595" spans="1:17" ht="12.75" customHeight="1">
      <c r="A595" s="19" t="s">
        <v>114</v>
      </c>
      <c r="B595" s="19"/>
      <c r="C595" s="19"/>
      <c r="D595" s="19"/>
      <c r="E595" s="20">
        <f>SUM('DS1'!$A$140:$A$144)</f>
        <v>185000</v>
      </c>
      <c r="F595" s="20">
        <v>0</v>
      </c>
      <c r="G595" s="20">
        <v>185000</v>
      </c>
      <c r="H595" s="20">
        <v>146293.63</v>
      </c>
      <c r="I595" s="21">
        <v>146293.63</v>
      </c>
      <c r="J595" s="21"/>
      <c r="K595" s="21">
        <v>146293.63</v>
      </c>
      <c r="L595" s="21"/>
      <c r="M595" s="20">
        <v>146293.63</v>
      </c>
      <c r="N595" s="20">
        <v>122120.29</v>
      </c>
      <c r="O595" s="20">
        <v>38706.37</v>
      </c>
      <c r="P595" s="22">
        <v>20.922362162162162</v>
      </c>
      <c r="Q595" s="22">
        <v>79.07763783783784</v>
      </c>
    </row>
    <row r="596" spans="1:17" ht="12.75" customHeight="1">
      <c r="A596" s="23"/>
      <c r="B596" s="24"/>
      <c r="C596" s="24"/>
      <c r="D596" s="24"/>
      <c r="E596" s="23"/>
      <c r="F596" s="20">
        <v>0</v>
      </c>
      <c r="G596" s="20">
        <v>0</v>
      </c>
      <c r="H596" s="20">
        <v>0</v>
      </c>
      <c r="I596" s="21">
        <v>0</v>
      </c>
      <c r="J596" s="21"/>
      <c r="K596" s="21">
        <v>0</v>
      </c>
      <c r="L596" s="21"/>
      <c r="M596" s="20">
        <v>24173.34</v>
      </c>
      <c r="N596" s="20">
        <v>45</v>
      </c>
      <c r="O596" s="20">
        <v>38706.369999999995</v>
      </c>
      <c r="P596" s="22">
        <v>79.07763783783784</v>
      </c>
      <c r="Q596" s="22">
        <v>83.47614998684494</v>
      </c>
    </row>
    <row r="597" spans="1:17" ht="20.25" customHeight="1">
      <c r="A597" s="23"/>
      <c r="B597" s="24"/>
      <c r="C597" s="24"/>
      <c r="D597" s="24"/>
      <c r="E597" s="23"/>
      <c r="F597" s="23"/>
      <c r="G597" s="23"/>
      <c r="H597" s="23"/>
      <c r="I597" s="24"/>
      <c r="J597" s="24"/>
      <c r="K597" s="24"/>
      <c r="L597" s="24"/>
      <c r="M597" s="23"/>
      <c r="N597" s="23"/>
      <c r="O597" s="23"/>
      <c r="P597" s="23"/>
      <c r="Q597" s="23"/>
    </row>
    <row r="598" spans="1:17" ht="12.75" customHeight="1">
      <c r="A598" s="19" t="s">
        <v>395</v>
      </c>
      <c r="B598" s="19"/>
      <c r="C598" s="19"/>
      <c r="D598" s="19"/>
      <c r="E598" s="20">
        <f>SUM('DS1'!$A$138:$A$144)</f>
        <v>188000</v>
      </c>
      <c r="F598" s="20">
        <v>0</v>
      </c>
      <c r="G598" s="20">
        <v>188000</v>
      </c>
      <c r="H598" s="20">
        <v>149354.9</v>
      </c>
      <c r="I598" s="21">
        <v>149354.9</v>
      </c>
      <c r="J598" s="21"/>
      <c r="K598" s="21">
        <v>149354.9</v>
      </c>
      <c r="L598" s="21"/>
      <c r="M598" s="20">
        <v>149354.9</v>
      </c>
      <c r="N598" s="20">
        <v>125181.56</v>
      </c>
      <c r="O598" s="20">
        <v>38645.1</v>
      </c>
      <c r="P598" s="22">
        <v>20.55590425531915</v>
      </c>
      <c r="Q598" s="22">
        <v>79.44409574468084</v>
      </c>
    </row>
    <row r="599" spans="1:17" ht="12.75" customHeight="1">
      <c r="A599" s="23"/>
      <c r="B599" s="24"/>
      <c r="C599" s="24"/>
      <c r="D599" s="24"/>
      <c r="E599" s="23"/>
      <c r="F599" s="20">
        <v>0</v>
      </c>
      <c r="G599" s="20">
        <v>0</v>
      </c>
      <c r="H599" s="20">
        <v>0</v>
      </c>
      <c r="I599" s="21">
        <v>0</v>
      </c>
      <c r="J599" s="21"/>
      <c r="K599" s="21">
        <v>0</v>
      </c>
      <c r="L599" s="21"/>
      <c r="M599" s="20">
        <v>24173.34</v>
      </c>
      <c r="N599" s="20">
        <v>45</v>
      </c>
      <c r="O599" s="20">
        <v>38645.09999999999</v>
      </c>
      <c r="P599" s="22">
        <v>79.44409574468084</v>
      </c>
      <c r="Q599" s="22">
        <v>83.81483299175319</v>
      </c>
    </row>
    <row r="600" spans="1:17" ht="18" customHeight="1">
      <c r="A600" s="23"/>
      <c r="B600" s="24"/>
      <c r="C600" s="24"/>
      <c r="D600" s="24"/>
      <c r="E600" s="23"/>
      <c r="F600" s="23"/>
      <c r="G600" s="23"/>
      <c r="H600" s="23"/>
      <c r="I600" s="24"/>
      <c r="J600" s="24"/>
      <c r="K600" s="24"/>
      <c r="L600" s="24"/>
      <c r="M600" s="23"/>
      <c r="N600" s="23"/>
      <c r="O600" s="23"/>
      <c r="P600" s="23"/>
      <c r="Q600" s="23"/>
    </row>
    <row r="601" spans="1:17" ht="12.75" customHeight="1">
      <c r="A601" s="10"/>
      <c r="B601" s="11" t="s">
        <v>396</v>
      </c>
      <c r="C601" s="11"/>
      <c r="D601" s="11"/>
      <c r="E601" s="12">
        <f>ROUND(10493.24,2)</f>
        <v>10493.24</v>
      </c>
      <c r="F601" s="12">
        <f>ROUND(94.44,2)</f>
        <v>94.44</v>
      </c>
      <c r="G601" s="12">
        <f>ROUND(10587.68,2)</f>
        <v>10587.68</v>
      </c>
      <c r="H601" s="12">
        <f>ROUND(2790.96,2)</f>
        <v>2790.96</v>
      </c>
      <c r="I601" s="13">
        <f>ROUND(2790.96,2)</f>
        <v>2790.96</v>
      </c>
      <c r="J601" s="13"/>
      <c r="K601" s="13">
        <f>ROUND(2790.96,2)</f>
        <v>2790.96</v>
      </c>
      <c r="L601" s="13"/>
      <c r="M601" s="12">
        <f>ROUND(2790.96,2)</f>
        <v>2790.96</v>
      </c>
      <c r="N601" s="12">
        <f>ROUND(2790.96,2)</f>
        <v>2790.96</v>
      </c>
      <c r="O601" s="12">
        <f aca="true" t="shared" si="311" ref="O601:O602">ROUND(7796.72,2)</f>
        <v>7796.72</v>
      </c>
      <c r="P601" s="14">
        <v>73.63955087422363</v>
      </c>
      <c r="Q601" s="14">
        <v>26.360449125776377</v>
      </c>
    </row>
    <row r="602" spans="1:17" ht="12.75" customHeight="1">
      <c r="A602" s="15" t="s">
        <v>397</v>
      </c>
      <c r="B602" s="15"/>
      <c r="C602" s="15"/>
      <c r="D602" s="15"/>
      <c r="E602" s="16" t="s">
        <v>381</v>
      </c>
      <c r="F602" s="17">
        <f>ROUND(0,2)</f>
        <v>0</v>
      </c>
      <c r="G602" s="17">
        <f>ROUND(0,2)</f>
        <v>0</v>
      </c>
      <c r="H602" s="17">
        <f aca="true" t="shared" si="312" ref="H602:H604">ROUND(0,2)</f>
        <v>0</v>
      </c>
      <c r="I602" s="17">
        <f aca="true" t="shared" si="313" ref="I602:I604">ROUND(0,2)</f>
        <v>0</v>
      </c>
      <c r="J602" s="17"/>
      <c r="K602" s="17">
        <f aca="true" t="shared" si="314" ref="K602:K604">ROUND(0,2)</f>
        <v>0</v>
      </c>
      <c r="L602" s="17"/>
      <c r="M602" s="17">
        <f aca="true" t="shared" si="315" ref="M602:M604">ROUND(0,2)</f>
        <v>0</v>
      </c>
      <c r="N602" s="17">
        <f aca="true" t="shared" si="316" ref="N602:N604">ROUND(0,2)</f>
        <v>0</v>
      </c>
      <c r="O602" s="17">
        <f t="shared" si="311"/>
        <v>7796.72</v>
      </c>
      <c r="P602" s="18">
        <v>26.360449125776377</v>
      </c>
      <c r="Q602" s="18">
        <v>100</v>
      </c>
    </row>
    <row r="603" spans="1:17" ht="12.75" customHeight="1">
      <c r="A603" s="10"/>
      <c r="B603" s="11" t="s">
        <v>398</v>
      </c>
      <c r="C603" s="11"/>
      <c r="D603" s="11"/>
      <c r="E603" s="12">
        <f>ROUND(9093.06,2)</f>
        <v>9093.06</v>
      </c>
      <c r="F603" s="12">
        <f>ROUND(81.84,2)</f>
        <v>81.84</v>
      </c>
      <c r="G603" s="12">
        <f>ROUND(9174.9,2)</f>
        <v>9174.9</v>
      </c>
      <c r="H603" s="12">
        <f t="shared" si="312"/>
        <v>0</v>
      </c>
      <c r="I603" s="13">
        <f t="shared" si="313"/>
        <v>0</v>
      </c>
      <c r="J603" s="13"/>
      <c r="K603" s="13">
        <f t="shared" si="314"/>
        <v>0</v>
      </c>
      <c r="L603" s="13"/>
      <c r="M603" s="12">
        <f t="shared" si="315"/>
        <v>0</v>
      </c>
      <c r="N603" s="12">
        <f t="shared" si="316"/>
        <v>0</v>
      </c>
      <c r="O603" s="12">
        <f aca="true" t="shared" si="317" ref="O603:O604">ROUND(9174.9,2)</f>
        <v>9174.9</v>
      </c>
      <c r="P603" s="14">
        <v>100</v>
      </c>
      <c r="Q603" s="14">
        <v>0</v>
      </c>
    </row>
    <row r="604" spans="1:17" ht="12.75" customHeight="1">
      <c r="A604" s="15" t="s">
        <v>399</v>
      </c>
      <c r="B604" s="15"/>
      <c r="C604" s="15"/>
      <c r="D604" s="15"/>
      <c r="E604" s="16" t="s">
        <v>381</v>
      </c>
      <c r="F604" s="17">
        <f>ROUND(0,2)</f>
        <v>0</v>
      </c>
      <c r="G604" s="17">
        <f>ROUND(0,2)</f>
        <v>0</v>
      </c>
      <c r="H604" s="17">
        <f t="shared" si="312"/>
        <v>0</v>
      </c>
      <c r="I604" s="17">
        <f t="shared" si="313"/>
        <v>0</v>
      </c>
      <c r="J604" s="17"/>
      <c r="K604" s="17">
        <f t="shared" si="314"/>
        <v>0</v>
      </c>
      <c r="L604" s="17"/>
      <c r="M604" s="17">
        <f t="shared" si="315"/>
        <v>0</v>
      </c>
      <c r="N604" s="17">
        <f t="shared" si="316"/>
        <v>0</v>
      </c>
      <c r="O604" s="17">
        <f t="shared" si="317"/>
        <v>9174.9</v>
      </c>
      <c r="P604" s="18">
        <v>0</v>
      </c>
      <c r="Q604" s="18">
        <v>0</v>
      </c>
    </row>
    <row r="605" spans="1:17" ht="12.75" customHeight="1">
      <c r="A605" s="10"/>
      <c r="B605" s="11" t="s">
        <v>400</v>
      </c>
      <c r="C605" s="11"/>
      <c r="D605" s="11"/>
      <c r="E605" s="12">
        <f>ROUND(84041.64,2)</f>
        <v>84041.64</v>
      </c>
      <c r="F605" s="12">
        <f>ROUND(756.37,2)</f>
        <v>756.37</v>
      </c>
      <c r="G605" s="12">
        <f>ROUND(84798.01,2)</f>
        <v>84798.01</v>
      </c>
      <c r="H605" s="12">
        <f>ROUND(17876.5,2)</f>
        <v>17876.5</v>
      </c>
      <c r="I605" s="13">
        <f>ROUND(17876.5,2)</f>
        <v>17876.5</v>
      </c>
      <c r="J605" s="13"/>
      <c r="K605" s="13">
        <f>ROUND(17876.5,2)</f>
        <v>17876.5</v>
      </c>
      <c r="L605" s="13"/>
      <c r="M605" s="12">
        <f>ROUND(17876.5,2)</f>
        <v>17876.5</v>
      </c>
      <c r="N605" s="12">
        <f>ROUND(17876.5,2)</f>
        <v>17876.5</v>
      </c>
      <c r="O605" s="12">
        <f aca="true" t="shared" si="318" ref="O605:O606">ROUND(66921.51,2)</f>
        <v>66921.51</v>
      </c>
      <c r="P605" s="14">
        <v>78.91872698427711</v>
      </c>
      <c r="Q605" s="14">
        <v>21.081273015722893</v>
      </c>
    </row>
    <row r="606" spans="1:17" ht="12.75" customHeight="1">
      <c r="A606" s="15" t="s">
        <v>401</v>
      </c>
      <c r="B606" s="15"/>
      <c r="C606" s="15"/>
      <c r="D606" s="15"/>
      <c r="E606" s="16" t="s">
        <v>381</v>
      </c>
      <c r="F606" s="17">
        <f>ROUND(0,2)</f>
        <v>0</v>
      </c>
      <c r="G606" s="17">
        <f>ROUND(0,2)</f>
        <v>0</v>
      </c>
      <c r="H606" s="17">
        <f>ROUND(0,2)</f>
        <v>0</v>
      </c>
      <c r="I606" s="17">
        <f>ROUND(0,2)</f>
        <v>0</v>
      </c>
      <c r="J606" s="17"/>
      <c r="K606" s="17">
        <f>ROUND(0,2)</f>
        <v>0</v>
      </c>
      <c r="L606" s="17"/>
      <c r="M606" s="17">
        <f>ROUND(0,2)</f>
        <v>0</v>
      </c>
      <c r="N606" s="17">
        <f>ROUND(0,2)</f>
        <v>0</v>
      </c>
      <c r="O606" s="17">
        <f t="shared" si="318"/>
        <v>66921.51</v>
      </c>
      <c r="P606" s="18">
        <v>21.081273015722893</v>
      </c>
      <c r="Q606" s="18">
        <v>100</v>
      </c>
    </row>
    <row r="607" spans="1:17" ht="12.75" customHeight="1">
      <c r="A607" s="10"/>
      <c r="B607" s="11" t="s">
        <v>402</v>
      </c>
      <c r="C607" s="11"/>
      <c r="D607" s="11"/>
      <c r="E607" s="12">
        <f>ROUND(31857.8,2)</f>
        <v>31857.8</v>
      </c>
      <c r="F607" s="12">
        <f>ROUND(286.72,2)</f>
        <v>286.72</v>
      </c>
      <c r="G607" s="12">
        <f>ROUND(32144.52,2)</f>
        <v>32144.52</v>
      </c>
      <c r="H607" s="12">
        <f>ROUND(15853.1,2)</f>
        <v>15853.1</v>
      </c>
      <c r="I607" s="13">
        <f>ROUND(15853.1,2)</f>
        <v>15853.1</v>
      </c>
      <c r="J607" s="13"/>
      <c r="K607" s="13">
        <f>ROUND(15853.1,2)</f>
        <v>15853.1</v>
      </c>
      <c r="L607" s="13"/>
      <c r="M607" s="12">
        <f>ROUND(15853.1,2)</f>
        <v>15853.1</v>
      </c>
      <c r="N607" s="12">
        <f>ROUND(15853.1,2)</f>
        <v>15853.1</v>
      </c>
      <c r="O607" s="12">
        <f aca="true" t="shared" si="319" ref="O607:O608">ROUND(16291.42,2)</f>
        <v>16291.42</v>
      </c>
      <c r="P607" s="14">
        <v>50.68179583953968</v>
      </c>
      <c r="Q607" s="14">
        <v>49.31820416046032</v>
      </c>
    </row>
    <row r="608" spans="1:17" ht="12.75" customHeight="1">
      <c r="A608" s="15" t="s">
        <v>403</v>
      </c>
      <c r="B608" s="15"/>
      <c r="C608" s="15"/>
      <c r="D608" s="15"/>
      <c r="E608" s="16" t="s">
        <v>381</v>
      </c>
      <c r="F608" s="17">
        <f>ROUND(0,2)</f>
        <v>0</v>
      </c>
      <c r="G608" s="17">
        <f>ROUND(0,2)</f>
        <v>0</v>
      </c>
      <c r="H608" s="17">
        <f>ROUND(0,2)</f>
        <v>0</v>
      </c>
      <c r="I608" s="17">
        <f>ROUND(0,2)</f>
        <v>0</v>
      </c>
      <c r="J608" s="17"/>
      <c r="K608" s="17">
        <f>ROUND(0,2)</f>
        <v>0</v>
      </c>
      <c r="L608" s="17"/>
      <c r="M608" s="17">
        <f>ROUND(0,2)</f>
        <v>0</v>
      </c>
      <c r="N608" s="17">
        <f>ROUND(0,2)</f>
        <v>0</v>
      </c>
      <c r="O608" s="17">
        <f t="shared" si="319"/>
        <v>16291.42</v>
      </c>
      <c r="P608" s="18">
        <v>49.31820416046032</v>
      </c>
      <c r="Q608" s="18">
        <v>100</v>
      </c>
    </row>
    <row r="609" spans="1:17" ht="12.75" customHeight="1">
      <c r="A609" s="19" t="s">
        <v>48</v>
      </c>
      <c r="B609" s="19"/>
      <c r="C609" s="19"/>
      <c r="D609" s="19"/>
      <c r="E609" s="20">
        <f>SUM('DS1'!$A$145:$A$148)</f>
        <v>135485.74</v>
      </c>
      <c r="F609" s="20">
        <v>1219.37</v>
      </c>
      <c r="G609" s="20">
        <v>136705.11</v>
      </c>
      <c r="H609" s="20">
        <v>36520.56</v>
      </c>
      <c r="I609" s="21">
        <v>36520.56</v>
      </c>
      <c r="J609" s="21"/>
      <c r="K609" s="21">
        <v>36520.56</v>
      </c>
      <c r="L609" s="21"/>
      <c r="M609" s="20">
        <v>36520.56</v>
      </c>
      <c r="N609" s="20">
        <v>36520.56</v>
      </c>
      <c r="O609" s="20">
        <v>100184.55</v>
      </c>
      <c r="P609" s="22">
        <v>73.28515371517568</v>
      </c>
      <c r="Q609" s="22">
        <v>26.714846284824322</v>
      </c>
    </row>
    <row r="610" spans="1:17" ht="12.75" customHeight="1">
      <c r="A610" s="23"/>
      <c r="B610" s="24"/>
      <c r="C610" s="24"/>
      <c r="D610" s="24"/>
      <c r="E610" s="23"/>
      <c r="F610" s="20">
        <v>0</v>
      </c>
      <c r="G610" s="20">
        <v>0</v>
      </c>
      <c r="H610" s="20">
        <v>0</v>
      </c>
      <c r="I610" s="21">
        <v>0</v>
      </c>
      <c r="J610" s="21"/>
      <c r="K610" s="21">
        <v>0</v>
      </c>
      <c r="L610" s="21"/>
      <c r="M610" s="20">
        <v>0</v>
      </c>
      <c r="N610" s="20">
        <v>0</v>
      </c>
      <c r="O610" s="20">
        <v>100184.54999999999</v>
      </c>
      <c r="P610" s="22">
        <v>26.714846284824322</v>
      </c>
      <c r="Q610" s="22">
        <v>100</v>
      </c>
    </row>
    <row r="611" spans="1:17" ht="20.25" customHeight="1">
      <c r="A611" s="23"/>
      <c r="B611" s="24"/>
      <c r="C611" s="24"/>
      <c r="D611" s="24"/>
      <c r="E611" s="23"/>
      <c r="F611" s="23"/>
      <c r="G611" s="23"/>
      <c r="H611" s="23"/>
      <c r="I611" s="24"/>
      <c r="J611" s="24"/>
      <c r="K611" s="24"/>
      <c r="L611" s="24"/>
      <c r="M611" s="23"/>
      <c r="N611" s="23"/>
      <c r="O611" s="23"/>
      <c r="P611" s="23"/>
      <c r="Q611" s="23"/>
    </row>
    <row r="612" spans="1:17" ht="12.75" customHeight="1">
      <c r="A612" s="10"/>
      <c r="B612" s="11" t="s">
        <v>404</v>
      </c>
      <c r="C612" s="11"/>
      <c r="D612" s="11"/>
      <c r="E612" s="12">
        <f>ROUND(153438.6,2)</f>
        <v>153438.6</v>
      </c>
      <c r="F612" s="12">
        <f>ROUND(1380.95,2)</f>
        <v>1380.95</v>
      </c>
      <c r="G612" s="12">
        <f>ROUND(154819.55,2)</f>
        <v>154819.55</v>
      </c>
      <c r="H612" s="12">
        <f>ROUND(41502.02,2)</f>
        <v>41502.02</v>
      </c>
      <c r="I612" s="13">
        <f>ROUND(41502.02,2)</f>
        <v>41502.02</v>
      </c>
      <c r="J612" s="13"/>
      <c r="K612" s="13">
        <f>ROUND(41502.02,2)</f>
        <v>41502.02</v>
      </c>
      <c r="L612" s="13"/>
      <c r="M612" s="12">
        <f>ROUND(41502.02,2)</f>
        <v>41502.02</v>
      </c>
      <c r="N612" s="12">
        <f>ROUND(41502.02,2)</f>
        <v>41502.02</v>
      </c>
      <c r="O612" s="12">
        <f>ROUND(113317.53,2)</f>
        <v>113317.53</v>
      </c>
      <c r="P612" s="14">
        <v>73.19329503283015</v>
      </c>
      <c r="Q612" s="14">
        <v>26.806704967169836</v>
      </c>
    </row>
    <row r="613" spans="1:17" ht="12.75" customHeight="1">
      <c r="A613" s="15" t="s">
        <v>405</v>
      </c>
      <c r="B613" s="15"/>
      <c r="C613" s="15"/>
      <c r="D613" s="15"/>
      <c r="E613" s="16" t="s">
        <v>381</v>
      </c>
      <c r="F613" s="17">
        <f>ROUND(0,2)</f>
        <v>0</v>
      </c>
      <c r="G613" s="17">
        <f>ROUND(0,2)</f>
        <v>0</v>
      </c>
      <c r="H613" s="17">
        <f>ROUND(0,2)</f>
        <v>0</v>
      </c>
      <c r="I613" s="17">
        <f>ROUND(0,2)</f>
        <v>0</v>
      </c>
      <c r="J613" s="17"/>
      <c r="K613" s="17">
        <f>ROUND(0,2)</f>
        <v>0</v>
      </c>
      <c r="L613" s="17"/>
      <c r="M613" s="17">
        <f>ROUND(0,2)</f>
        <v>0</v>
      </c>
      <c r="N613" s="17">
        <f>ROUND(0,2)</f>
        <v>0</v>
      </c>
      <c r="O613" s="17">
        <f>ROUND(113317.53,2)</f>
        <v>113317.53</v>
      </c>
      <c r="P613" s="18">
        <v>26.806704967169836</v>
      </c>
      <c r="Q613" s="18">
        <v>100</v>
      </c>
    </row>
    <row r="614" spans="1:17" ht="12.75" customHeight="1">
      <c r="A614" s="10"/>
      <c r="B614" s="11" t="s">
        <v>406</v>
      </c>
      <c r="C614" s="11"/>
      <c r="D614" s="11"/>
      <c r="E614" s="12">
        <f>ROUND(64644.02,2)</f>
        <v>64644.02</v>
      </c>
      <c r="F614" s="12">
        <f>ROUND(581.8,2)</f>
        <v>581.8</v>
      </c>
      <c r="G614" s="12">
        <f>ROUND(65225.82,2)</f>
        <v>65225.82</v>
      </c>
      <c r="H614" s="12">
        <f>ROUND(17630.03,2)</f>
        <v>17630.03</v>
      </c>
      <c r="I614" s="13">
        <f>ROUND(17630.03,2)</f>
        <v>17630.03</v>
      </c>
      <c r="J614" s="13"/>
      <c r="K614" s="13">
        <f>ROUND(17630.03,2)</f>
        <v>17630.03</v>
      </c>
      <c r="L614" s="13"/>
      <c r="M614" s="12">
        <f>ROUND(17630.03,2)</f>
        <v>17630.03</v>
      </c>
      <c r="N614" s="12">
        <f>ROUND(17630.03,2)</f>
        <v>17630.03</v>
      </c>
      <c r="O614" s="12">
        <f aca="true" t="shared" si="320" ref="O614:O615">ROUND(47595.79,2)</f>
        <v>47595.79</v>
      </c>
      <c r="P614" s="14">
        <v>72.97078058964993</v>
      </c>
      <c r="Q614" s="14">
        <v>27.02921941035007</v>
      </c>
    </row>
    <row r="615" spans="1:17" ht="12.75" customHeight="1">
      <c r="A615" s="15" t="s">
        <v>407</v>
      </c>
      <c r="B615" s="15"/>
      <c r="C615" s="15"/>
      <c r="D615" s="15"/>
      <c r="E615" s="16" t="s">
        <v>381</v>
      </c>
      <c r="F615" s="17">
        <f>ROUND(0,2)</f>
        <v>0</v>
      </c>
      <c r="G615" s="17">
        <f>ROUND(0,2)</f>
        <v>0</v>
      </c>
      <c r="H615" s="17">
        <f>ROUND(0,2)</f>
        <v>0</v>
      </c>
      <c r="I615" s="17">
        <f>ROUND(0,2)</f>
        <v>0</v>
      </c>
      <c r="J615" s="17"/>
      <c r="K615" s="17">
        <f>ROUND(0,2)</f>
        <v>0</v>
      </c>
      <c r="L615" s="17"/>
      <c r="M615" s="17">
        <f>ROUND(0,2)</f>
        <v>0</v>
      </c>
      <c r="N615" s="17">
        <f>ROUND(0,2)</f>
        <v>0</v>
      </c>
      <c r="O615" s="17">
        <f t="shared" si="320"/>
        <v>47595.79</v>
      </c>
      <c r="P615" s="18">
        <v>27.02921941035007</v>
      </c>
      <c r="Q615" s="18">
        <v>100</v>
      </c>
    </row>
    <row r="616" spans="1:17" ht="12.75" customHeight="1">
      <c r="A616" s="10"/>
      <c r="B616" s="11" t="s">
        <v>408</v>
      </c>
      <c r="C616" s="11"/>
      <c r="D616" s="11"/>
      <c r="E616" s="12">
        <f>ROUND(16663.32,2)</f>
        <v>16663.32</v>
      </c>
      <c r="F616" s="12">
        <f>ROUND(149.97,2)</f>
        <v>149.97</v>
      </c>
      <c r="G616" s="12">
        <f>ROUND(16813.29,2)</f>
        <v>16813.29</v>
      </c>
      <c r="H616" s="12">
        <f>ROUND(4642.61,2)</f>
        <v>4642.61</v>
      </c>
      <c r="I616" s="13">
        <f>ROUND(4642.61,2)</f>
        <v>4642.61</v>
      </c>
      <c r="J616" s="13"/>
      <c r="K616" s="13">
        <f>ROUND(4642.61,2)</f>
        <v>4642.61</v>
      </c>
      <c r="L616" s="13"/>
      <c r="M616" s="12">
        <f>ROUND(4642.61,2)</f>
        <v>4642.61</v>
      </c>
      <c r="N616" s="12">
        <f>ROUND(4642.61,2)</f>
        <v>4642.61</v>
      </c>
      <c r="O616" s="12">
        <f aca="true" t="shared" si="321" ref="O616:O617">ROUND(12170.68,2)</f>
        <v>12170.68</v>
      </c>
      <c r="P616" s="14">
        <v>72.38726031609518</v>
      </c>
      <c r="Q616" s="14">
        <v>27.612739683904813</v>
      </c>
    </row>
    <row r="617" spans="1:17" ht="12.75" customHeight="1">
      <c r="A617" s="15" t="s">
        <v>409</v>
      </c>
      <c r="B617" s="15"/>
      <c r="C617" s="15"/>
      <c r="D617" s="15"/>
      <c r="E617" s="16" t="s">
        <v>381</v>
      </c>
      <c r="F617" s="17">
        <f>ROUND(0,2)</f>
        <v>0</v>
      </c>
      <c r="G617" s="17">
        <f>ROUND(0,2)</f>
        <v>0</v>
      </c>
      <c r="H617" s="17">
        <f>ROUND(0,2)</f>
        <v>0</v>
      </c>
      <c r="I617" s="17">
        <f>ROUND(0,2)</f>
        <v>0</v>
      </c>
      <c r="J617" s="17"/>
      <c r="K617" s="17">
        <f>ROUND(0,2)</f>
        <v>0</v>
      </c>
      <c r="L617" s="17"/>
      <c r="M617" s="17">
        <f>ROUND(0,2)</f>
        <v>0</v>
      </c>
      <c r="N617" s="17">
        <f>ROUND(0,2)</f>
        <v>0</v>
      </c>
      <c r="O617" s="17">
        <f t="shared" si="321"/>
        <v>12170.68</v>
      </c>
      <c r="P617" s="18">
        <v>27.612739683904813</v>
      </c>
      <c r="Q617" s="18">
        <v>100</v>
      </c>
    </row>
    <row r="618" spans="1:17" ht="12.75" customHeight="1">
      <c r="A618" s="19" t="s">
        <v>57</v>
      </c>
      <c r="B618" s="19"/>
      <c r="C618" s="19"/>
      <c r="D618" s="19"/>
      <c r="E618" s="20">
        <f>SUM('DS1'!$A$149:$A$151)</f>
        <v>234745.94</v>
      </c>
      <c r="F618" s="20">
        <v>2112.72</v>
      </c>
      <c r="G618" s="20">
        <v>236858.66000000003</v>
      </c>
      <c r="H618" s="20">
        <v>63774.66</v>
      </c>
      <c r="I618" s="21">
        <v>63774.66</v>
      </c>
      <c r="J618" s="21"/>
      <c r="K618" s="21">
        <v>63774.66</v>
      </c>
      <c r="L618" s="21"/>
      <c r="M618" s="20">
        <v>63774.66</v>
      </c>
      <c r="N618" s="20">
        <v>63774.66</v>
      </c>
      <c r="O618" s="20">
        <v>173084</v>
      </c>
      <c r="P618" s="22">
        <v>73.07480334474576</v>
      </c>
      <c r="Q618" s="22">
        <v>26.92519665525423</v>
      </c>
    </row>
    <row r="619" spans="1:17" ht="12.75" customHeight="1">
      <c r="A619" s="23"/>
      <c r="B619" s="24"/>
      <c r="C619" s="24"/>
      <c r="D619" s="24"/>
      <c r="E619" s="23"/>
      <c r="F619" s="20">
        <v>0</v>
      </c>
      <c r="G619" s="20">
        <v>0</v>
      </c>
      <c r="H619" s="20">
        <v>0</v>
      </c>
      <c r="I619" s="21">
        <v>0</v>
      </c>
      <c r="J619" s="21"/>
      <c r="K619" s="21">
        <v>0</v>
      </c>
      <c r="L619" s="21"/>
      <c r="M619" s="20">
        <v>0</v>
      </c>
      <c r="N619" s="20">
        <v>0</v>
      </c>
      <c r="O619" s="20">
        <v>173084.00000000003</v>
      </c>
      <c r="P619" s="22">
        <v>26.92519665525423</v>
      </c>
      <c r="Q619" s="22">
        <v>100</v>
      </c>
    </row>
    <row r="620" spans="1:17" ht="20.25" customHeight="1">
      <c r="A620" s="23"/>
      <c r="B620" s="24"/>
      <c r="C620" s="24"/>
      <c r="D620" s="24"/>
      <c r="E620" s="23"/>
      <c r="F620" s="23"/>
      <c r="G620" s="23"/>
      <c r="H620" s="23"/>
      <c r="I620" s="24"/>
      <c r="J620" s="24"/>
      <c r="K620" s="24"/>
      <c r="L620" s="24"/>
      <c r="M620" s="23"/>
      <c r="N620" s="23"/>
      <c r="O620" s="23"/>
      <c r="P620" s="23"/>
      <c r="Q620" s="23"/>
    </row>
    <row r="621" spans="1:17" ht="12.75" customHeight="1">
      <c r="A621" s="10"/>
      <c r="B621" s="11" t="s">
        <v>410</v>
      </c>
      <c r="C621" s="11"/>
      <c r="D621" s="11"/>
      <c r="E621" s="12">
        <f>ROUND(2183381.26,2)</f>
        <v>2183381.26</v>
      </c>
      <c r="F621" s="12">
        <f>ROUND(19650.43,2)</f>
        <v>19650.43</v>
      </c>
      <c r="G621" s="12">
        <f>ROUND(2203031.69,2)</f>
        <v>2203031.69</v>
      </c>
      <c r="H621" s="12">
        <f>ROUND(1337467.75,2)</f>
        <v>1337467.75</v>
      </c>
      <c r="I621" s="13">
        <f>ROUND(1337467.75,2)</f>
        <v>1337467.75</v>
      </c>
      <c r="J621" s="13"/>
      <c r="K621" s="13">
        <f>ROUND(1337467.75,2)</f>
        <v>1337467.75</v>
      </c>
      <c r="L621" s="13"/>
      <c r="M621" s="12">
        <f>ROUND(1337467.75,2)</f>
        <v>1337467.75</v>
      </c>
      <c r="N621" s="12">
        <f>ROUND(1337467.75,2)</f>
        <v>1337467.75</v>
      </c>
      <c r="O621" s="12">
        <f aca="true" t="shared" si="322" ref="O621:O622">ROUND(865563.94,2)</f>
        <v>865563.94</v>
      </c>
      <c r="P621" s="14">
        <v>39.289672678289975</v>
      </c>
      <c r="Q621" s="14">
        <v>60.710327321710025</v>
      </c>
    </row>
    <row r="622" spans="1:17" ht="12.75" customHeight="1">
      <c r="A622" s="15" t="s">
        <v>411</v>
      </c>
      <c r="B622" s="15"/>
      <c r="C622" s="15"/>
      <c r="D622" s="15"/>
      <c r="E622" s="16" t="s">
        <v>381</v>
      </c>
      <c r="F622" s="17">
        <f>ROUND(0,2)</f>
        <v>0</v>
      </c>
      <c r="G622" s="17">
        <f>ROUND(0,2)</f>
        <v>0</v>
      </c>
      <c r="H622" s="17">
        <f>ROUND(0,2)</f>
        <v>0</v>
      </c>
      <c r="I622" s="17">
        <f>ROUND(0,2)</f>
        <v>0</v>
      </c>
      <c r="J622" s="17"/>
      <c r="K622" s="17">
        <f>ROUND(0,2)</f>
        <v>0</v>
      </c>
      <c r="L622" s="17"/>
      <c r="M622" s="17">
        <f>ROUND(0,2)</f>
        <v>0</v>
      </c>
      <c r="N622" s="17">
        <f>ROUND(0,2)</f>
        <v>0</v>
      </c>
      <c r="O622" s="17">
        <f t="shared" si="322"/>
        <v>865563.94</v>
      </c>
      <c r="P622" s="18">
        <v>60.710327321710025</v>
      </c>
      <c r="Q622" s="18">
        <v>100</v>
      </c>
    </row>
    <row r="623" spans="1:17" ht="12.75" customHeight="1">
      <c r="A623" s="19" t="s">
        <v>60</v>
      </c>
      <c r="B623" s="19"/>
      <c r="C623" s="19"/>
      <c r="D623" s="19"/>
      <c r="E623" s="20">
        <f>SUM('DS1'!$A$152)</f>
        <v>2183381.26</v>
      </c>
      <c r="F623" s="20">
        <v>19650.43</v>
      </c>
      <c r="G623" s="20">
        <v>2203031.69</v>
      </c>
      <c r="H623" s="20">
        <v>1337467.75</v>
      </c>
      <c r="I623" s="21">
        <v>1337467.75</v>
      </c>
      <c r="J623" s="21"/>
      <c r="K623" s="21">
        <v>1337467.75</v>
      </c>
      <c r="L623" s="21"/>
      <c r="M623" s="20">
        <v>1337467.75</v>
      </c>
      <c r="N623" s="20">
        <v>1337467.75</v>
      </c>
      <c r="O623" s="20">
        <v>865563.94</v>
      </c>
      <c r="P623" s="22">
        <v>39.289672678289975</v>
      </c>
      <c r="Q623" s="22">
        <v>60.710327321710025</v>
      </c>
    </row>
    <row r="624" spans="1:17" ht="12.75" customHeight="1">
      <c r="A624" s="23"/>
      <c r="B624" s="24"/>
      <c r="C624" s="24"/>
      <c r="D624" s="24"/>
      <c r="E624" s="23"/>
      <c r="F624" s="20">
        <v>0</v>
      </c>
      <c r="G624" s="20">
        <v>0</v>
      </c>
      <c r="H624" s="20">
        <v>0</v>
      </c>
      <c r="I624" s="21">
        <v>0</v>
      </c>
      <c r="J624" s="21"/>
      <c r="K624" s="21">
        <v>0</v>
      </c>
      <c r="L624" s="21"/>
      <c r="M624" s="20">
        <v>0</v>
      </c>
      <c r="N624" s="20">
        <v>0</v>
      </c>
      <c r="O624" s="20">
        <v>865563.94</v>
      </c>
      <c r="P624" s="22">
        <v>60.710327321710025</v>
      </c>
      <c r="Q624" s="22">
        <v>100</v>
      </c>
    </row>
    <row r="625" spans="1:17" ht="20.25" customHeight="1">
      <c r="A625" s="23"/>
      <c r="B625" s="24"/>
      <c r="C625" s="24"/>
      <c r="D625" s="24"/>
      <c r="E625" s="23"/>
      <c r="F625" s="23"/>
      <c r="G625" s="23"/>
      <c r="H625" s="23"/>
      <c r="I625" s="24"/>
      <c r="J625" s="24"/>
      <c r="K625" s="24"/>
      <c r="L625" s="24"/>
      <c r="M625" s="23"/>
      <c r="N625" s="23"/>
      <c r="O625" s="23"/>
      <c r="P625" s="23"/>
      <c r="Q625" s="23"/>
    </row>
    <row r="626" spans="1:17" ht="12.75" customHeight="1">
      <c r="A626" s="10"/>
      <c r="B626" s="11" t="s">
        <v>412</v>
      </c>
      <c r="C626" s="11"/>
      <c r="D626" s="11"/>
      <c r="E626" s="12">
        <f>ROUND(91000,2)</f>
        <v>91000</v>
      </c>
      <c r="F626" s="12">
        <f>ROUND(819,2)</f>
        <v>819</v>
      </c>
      <c r="G626" s="12">
        <f>ROUND(91819,2)</f>
        <v>91819</v>
      </c>
      <c r="H626" s="12">
        <f>ROUND(140421.35,2)</f>
        <v>140421.35</v>
      </c>
      <c r="I626" s="13">
        <f>ROUND(140421.35,2)</f>
        <v>140421.35</v>
      </c>
      <c r="J626" s="13"/>
      <c r="K626" s="13">
        <f>ROUND(140421.35,2)</f>
        <v>140421.35</v>
      </c>
      <c r="L626" s="13"/>
      <c r="M626" s="12">
        <f>ROUND(140421.35,2)</f>
        <v>140421.35</v>
      </c>
      <c r="N626" s="12">
        <f>ROUND(140421.35,2)</f>
        <v>140421.35</v>
      </c>
      <c r="O626" s="12">
        <f>ROUND(-48602.35,2)</f>
        <v>-48602.35</v>
      </c>
      <c r="P626" s="14">
        <v>-52.9327807970028</v>
      </c>
      <c r="Q626" s="14">
        <v>152.9327807970028</v>
      </c>
    </row>
    <row r="627" spans="1:17" ht="12.75" customHeight="1">
      <c r="A627" s="15" t="s">
        <v>411</v>
      </c>
      <c r="B627" s="15"/>
      <c r="C627" s="15"/>
      <c r="D627" s="15"/>
      <c r="E627" s="16" t="s">
        <v>381</v>
      </c>
      <c r="F627" s="17">
        <f>ROUND(0,2)</f>
        <v>0</v>
      </c>
      <c r="G627" s="17">
        <f>ROUND(0,2)</f>
        <v>0</v>
      </c>
      <c r="H627" s="17">
        <f>ROUND(0,2)</f>
        <v>0</v>
      </c>
      <c r="I627" s="17">
        <f>ROUND(0,2)</f>
        <v>0</v>
      </c>
      <c r="J627" s="17"/>
      <c r="K627" s="17">
        <f>ROUND(0,2)</f>
        <v>0</v>
      </c>
      <c r="L627" s="17"/>
      <c r="M627" s="17">
        <f>ROUND(0,2)</f>
        <v>0</v>
      </c>
      <c r="N627" s="17">
        <f>ROUND(0,2)</f>
        <v>0</v>
      </c>
      <c r="O627" s="17">
        <f>ROUND(-48602.35,2)</f>
        <v>-48602.35</v>
      </c>
      <c r="P627" s="18">
        <v>152.9327807970028</v>
      </c>
      <c r="Q627" s="18">
        <v>100</v>
      </c>
    </row>
    <row r="628" spans="1:17" ht="12.75" customHeight="1">
      <c r="A628" s="19" t="s">
        <v>264</v>
      </c>
      <c r="B628" s="19"/>
      <c r="C628" s="19"/>
      <c r="D628" s="19"/>
      <c r="E628" s="20">
        <f>SUM('DS1'!$A$153)</f>
        <v>91000</v>
      </c>
      <c r="F628" s="20">
        <v>819</v>
      </c>
      <c r="G628" s="20">
        <v>91819</v>
      </c>
      <c r="H628" s="20">
        <v>140421.35</v>
      </c>
      <c r="I628" s="21">
        <v>140421.35</v>
      </c>
      <c r="J628" s="21"/>
      <c r="K628" s="21">
        <v>140421.35</v>
      </c>
      <c r="L628" s="21"/>
      <c r="M628" s="20">
        <v>140421.35</v>
      </c>
      <c r="N628" s="20">
        <v>140421.35</v>
      </c>
      <c r="O628" s="20">
        <v>-48602.35</v>
      </c>
      <c r="P628" s="22">
        <v>-52.9327807970028</v>
      </c>
      <c r="Q628" s="22">
        <v>152.9327807970028</v>
      </c>
    </row>
    <row r="629" spans="1:17" ht="12.75" customHeight="1">
      <c r="A629" s="23"/>
      <c r="B629" s="24"/>
      <c r="C629" s="24"/>
      <c r="D629" s="24"/>
      <c r="E629" s="23"/>
      <c r="F629" s="20">
        <v>0</v>
      </c>
      <c r="G629" s="20">
        <v>0</v>
      </c>
      <c r="H629" s="20">
        <v>0</v>
      </c>
      <c r="I629" s="21">
        <v>0</v>
      </c>
      <c r="J629" s="21"/>
      <c r="K629" s="21">
        <v>0</v>
      </c>
      <c r="L629" s="21"/>
      <c r="M629" s="20">
        <v>0</v>
      </c>
      <c r="N629" s="20">
        <v>0</v>
      </c>
      <c r="O629" s="20">
        <v>-48602.350000000006</v>
      </c>
      <c r="P629" s="22">
        <v>152.9327807970028</v>
      </c>
      <c r="Q629" s="22">
        <v>100</v>
      </c>
    </row>
    <row r="630" spans="1:17" ht="20.25" customHeight="1">
      <c r="A630" s="23"/>
      <c r="B630" s="24"/>
      <c r="C630" s="24"/>
      <c r="D630" s="24"/>
      <c r="E630" s="23"/>
      <c r="F630" s="23"/>
      <c r="G630" s="23"/>
      <c r="H630" s="23"/>
      <c r="I630" s="24"/>
      <c r="J630" s="24"/>
      <c r="K630" s="24"/>
      <c r="L630" s="24"/>
      <c r="M630" s="23"/>
      <c r="N630" s="23"/>
      <c r="O630" s="23"/>
      <c r="P630" s="23"/>
      <c r="Q630" s="23"/>
    </row>
    <row r="631" spans="1:17" ht="12.75" customHeight="1">
      <c r="A631" s="10"/>
      <c r="B631" s="11" t="s">
        <v>413</v>
      </c>
      <c r="C631" s="11"/>
      <c r="D631" s="11"/>
      <c r="E631" s="12">
        <f>ROUND(730351.73,2)</f>
        <v>730351.73</v>
      </c>
      <c r="F631" s="12">
        <f>ROUND(6573.17,2)</f>
        <v>6573.17</v>
      </c>
      <c r="G631" s="12">
        <f>ROUND(736924.9,2)</f>
        <v>736924.9</v>
      </c>
      <c r="H631" s="12">
        <f>ROUND(458265.62,2)</f>
        <v>458265.62</v>
      </c>
      <c r="I631" s="13">
        <f>ROUND(458265.62,2)</f>
        <v>458265.62</v>
      </c>
      <c r="J631" s="13"/>
      <c r="K631" s="13">
        <f>ROUND(458265.62,2)</f>
        <v>458265.62</v>
      </c>
      <c r="L631" s="13"/>
      <c r="M631" s="12">
        <f>ROUND(458265.62,2)</f>
        <v>458265.62</v>
      </c>
      <c r="N631" s="12">
        <f>ROUND(458265.62,2)</f>
        <v>458265.62</v>
      </c>
      <c r="O631" s="12">
        <f aca="true" t="shared" si="323" ref="O631:O632">ROUND(278659.28,2)</f>
        <v>278659.28</v>
      </c>
      <c r="P631" s="14">
        <v>37.81379622265444</v>
      </c>
      <c r="Q631" s="14">
        <v>62.18620377734556</v>
      </c>
    </row>
    <row r="632" spans="1:17" ht="12.75" customHeight="1">
      <c r="A632" s="15" t="s">
        <v>414</v>
      </c>
      <c r="B632" s="15"/>
      <c r="C632" s="15"/>
      <c r="D632" s="15"/>
      <c r="E632" s="16" t="s">
        <v>381</v>
      </c>
      <c r="F632" s="17">
        <f>ROUND(0,2)</f>
        <v>0</v>
      </c>
      <c r="G632" s="17">
        <f>ROUND(0,2)</f>
        <v>0</v>
      </c>
      <c r="H632" s="17">
        <f>ROUND(0,2)</f>
        <v>0</v>
      </c>
      <c r="I632" s="17">
        <f>ROUND(0,2)</f>
        <v>0</v>
      </c>
      <c r="J632" s="17"/>
      <c r="K632" s="17">
        <f>ROUND(0,2)</f>
        <v>0</v>
      </c>
      <c r="L632" s="17"/>
      <c r="M632" s="17">
        <f>ROUND(0,2)</f>
        <v>0</v>
      </c>
      <c r="N632" s="17">
        <f>ROUND(0,2)</f>
        <v>0</v>
      </c>
      <c r="O632" s="17">
        <f t="shared" si="323"/>
        <v>278659.28</v>
      </c>
      <c r="P632" s="18">
        <v>62.18620377734556</v>
      </c>
      <c r="Q632" s="18">
        <v>100</v>
      </c>
    </row>
    <row r="633" spans="1:17" ht="12.75" customHeight="1">
      <c r="A633" s="10"/>
      <c r="B633" s="11" t="s">
        <v>415</v>
      </c>
      <c r="C633" s="11"/>
      <c r="D633" s="11"/>
      <c r="E633" s="12">
        <f>ROUND(25000,2)</f>
        <v>25000</v>
      </c>
      <c r="F633" s="12">
        <f>ROUND(225,2)</f>
        <v>225</v>
      </c>
      <c r="G633" s="12">
        <f>ROUND(25225,2)</f>
        <v>25225</v>
      </c>
      <c r="H633" s="12">
        <f>ROUND(42184.91,2)</f>
        <v>42184.91</v>
      </c>
      <c r="I633" s="13">
        <f>ROUND(42184.91,2)</f>
        <v>42184.91</v>
      </c>
      <c r="J633" s="13"/>
      <c r="K633" s="13">
        <f>ROUND(42184.91,2)</f>
        <v>42184.91</v>
      </c>
      <c r="L633" s="13"/>
      <c r="M633" s="12">
        <f>ROUND(42184.91,2)</f>
        <v>42184.91</v>
      </c>
      <c r="N633" s="12">
        <f>ROUND(42184.91,2)</f>
        <v>42184.91</v>
      </c>
      <c r="O633" s="12">
        <f>ROUND(-16959.91,2)</f>
        <v>-16959.91</v>
      </c>
      <c r="P633" s="14">
        <v>-67.23452923686818</v>
      </c>
      <c r="Q633" s="14">
        <v>167.23452923686818</v>
      </c>
    </row>
    <row r="634" spans="1:17" ht="12.75" customHeight="1">
      <c r="A634" s="15" t="s">
        <v>416</v>
      </c>
      <c r="B634" s="15"/>
      <c r="C634" s="15"/>
      <c r="D634" s="15"/>
      <c r="E634" s="16" t="s">
        <v>381</v>
      </c>
      <c r="F634" s="17">
        <f>ROUND(0,2)</f>
        <v>0</v>
      </c>
      <c r="G634" s="17">
        <f>ROUND(0,2)</f>
        <v>0</v>
      </c>
      <c r="H634" s="17">
        <f>ROUND(0,2)</f>
        <v>0</v>
      </c>
      <c r="I634" s="17">
        <f>ROUND(0,2)</f>
        <v>0</v>
      </c>
      <c r="J634" s="17"/>
      <c r="K634" s="17">
        <f>ROUND(0,2)</f>
        <v>0</v>
      </c>
      <c r="L634" s="17"/>
      <c r="M634" s="17">
        <f>ROUND(0,2)</f>
        <v>0</v>
      </c>
      <c r="N634" s="17">
        <f>ROUND(0,2)</f>
        <v>0</v>
      </c>
      <c r="O634" s="17">
        <f>ROUND(-16959.91,2)</f>
        <v>-16959.91</v>
      </c>
      <c r="P634" s="18">
        <v>167.23452923686818</v>
      </c>
      <c r="Q634" s="18">
        <v>100</v>
      </c>
    </row>
    <row r="635" spans="1:17" ht="12.75" customHeight="1">
      <c r="A635" s="10"/>
      <c r="B635" s="11" t="s">
        <v>417</v>
      </c>
      <c r="C635" s="11"/>
      <c r="D635" s="11"/>
      <c r="E635" s="12">
        <f>ROUND(122176.46,2)</f>
        <v>122176.46</v>
      </c>
      <c r="F635" s="12">
        <f>ROUND(1099.59,2)</f>
        <v>1099.59</v>
      </c>
      <c r="G635" s="12">
        <f>ROUND(123276.05,2)</f>
        <v>123276.05</v>
      </c>
      <c r="H635" s="12">
        <f>ROUND(23437.23,2)</f>
        <v>23437.23</v>
      </c>
      <c r="I635" s="13">
        <f>ROUND(23437.23,2)</f>
        <v>23437.23</v>
      </c>
      <c r="J635" s="13"/>
      <c r="K635" s="13">
        <f>ROUND(23437.23,2)</f>
        <v>23437.23</v>
      </c>
      <c r="L635" s="13"/>
      <c r="M635" s="12">
        <f>ROUND(23437.23,2)</f>
        <v>23437.23</v>
      </c>
      <c r="N635" s="12">
        <f>ROUND(23437.23,2)</f>
        <v>23437.23</v>
      </c>
      <c r="O635" s="12">
        <f aca="true" t="shared" si="324" ref="O635:O636">ROUND(99838.82,2)</f>
        <v>99838.82</v>
      </c>
      <c r="P635" s="14">
        <v>80.98801024205432</v>
      </c>
      <c r="Q635" s="14">
        <v>19.01198975794568</v>
      </c>
    </row>
    <row r="636" spans="1:17" ht="12.75" customHeight="1">
      <c r="A636" s="15" t="s">
        <v>418</v>
      </c>
      <c r="B636" s="15"/>
      <c r="C636" s="15"/>
      <c r="D636" s="15"/>
      <c r="E636" s="16" t="s">
        <v>381</v>
      </c>
      <c r="F636" s="17">
        <f>ROUND(0,2)</f>
        <v>0</v>
      </c>
      <c r="G636" s="17">
        <f>ROUND(0,2)</f>
        <v>0</v>
      </c>
      <c r="H636" s="17">
        <f>ROUND(0,2)</f>
        <v>0</v>
      </c>
      <c r="I636" s="17">
        <f>ROUND(0,2)</f>
        <v>0</v>
      </c>
      <c r="J636" s="17"/>
      <c r="K636" s="17">
        <f>ROUND(0,2)</f>
        <v>0</v>
      </c>
      <c r="L636" s="17"/>
      <c r="M636" s="17">
        <f>ROUND(0,2)</f>
        <v>0</v>
      </c>
      <c r="N636" s="17">
        <f>ROUND(0,2)</f>
        <v>0</v>
      </c>
      <c r="O636" s="17">
        <f t="shared" si="324"/>
        <v>99838.82</v>
      </c>
      <c r="P636" s="18">
        <v>19.01198975794568</v>
      </c>
      <c r="Q636" s="18">
        <v>100</v>
      </c>
    </row>
    <row r="637" spans="1:17" ht="12.75" customHeight="1">
      <c r="A637" s="19" t="s">
        <v>68</v>
      </c>
      <c r="B637" s="19"/>
      <c r="C637" s="19"/>
      <c r="D637" s="19"/>
      <c r="E637" s="20">
        <f>SUM('DS1'!$A$154:$A$156)</f>
        <v>877528.19</v>
      </c>
      <c r="F637" s="20">
        <v>7897.76</v>
      </c>
      <c r="G637" s="20">
        <v>885425.95</v>
      </c>
      <c r="H637" s="20">
        <v>523887.76</v>
      </c>
      <c r="I637" s="21">
        <v>523887.76</v>
      </c>
      <c r="J637" s="21"/>
      <c r="K637" s="21">
        <v>523887.76</v>
      </c>
      <c r="L637" s="21"/>
      <c r="M637" s="20">
        <v>523887.76</v>
      </c>
      <c r="N637" s="20">
        <v>523887.76</v>
      </c>
      <c r="O637" s="20">
        <v>361538.19</v>
      </c>
      <c r="P637" s="22">
        <v>40.832120404874054</v>
      </c>
      <c r="Q637" s="22">
        <v>59.16787959512594</v>
      </c>
    </row>
    <row r="638" spans="1:17" ht="12.75" customHeight="1">
      <c r="A638" s="23"/>
      <c r="B638" s="24"/>
      <c r="C638" s="24"/>
      <c r="D638" s="24"/>
      <c r="E638" s="23"/>
      <c r="F638" s="20">
        <v>0</v>
      </c>
      <c r="G638" s="20">
        <v>0</v>
      </c>
      <c r="H638" s="20">
        <v>0</v>
      </c>
      <c r="I638" s="21">
        <v>0</v>
      </c>
      <c r="J638" s="21"/>
      <c r="K638" s="21">
        <v>0</v>
      </c>
      <c r="L638" s="21"/>
      <c r="M638" s="20">
        <v>0</v>
      </c>
      <c r="N638" s="20">
        <v>0</v>
      </c>
      <c r="O638" s="20">
        <v>361538.19000000006</v>
      </c>
      <c r="P638" s="22">
        <v>59.16787959512594</v>
      </c>
      <c r="Q638" s="22">
        <v>100</v>
      </c>
    </row>
    <row r="639" spans="1:17" ht="20.25" customHeight="1">
      <c r="A639" s="23"/>
      <c r="B639" s="24"/>
      <c r="C639" s="24"/>
      <c r="D639" s="24"/>
      <c r="E639" s="23"/>
      <c r="F639" s="23"/>
      <c r="G639" s="23"/>
      <c r="H639" s="23"/>
      <c r="I639" s="24"/>
      <c r="J639" s="24"/>
      <c r="K639" s="24"/>
      <c r="L639" s="24"/>
      <c r="M639" s="23"/>
      <c r="N639" s="23"/>
      <c r="O639" s="23"/>
      <c r="P639" s="23"/>
      <c r="Q639" s="23"/>
    </row>
    <row r="640" spans="1:17" ht="12.75" customHeight="1">
      <c r="A640" s="10" t="s">
        <v>83</v>
      </c>
      <c r="B640" s="11" t="s">
        <v>419</v>
      </c>
      <c r="C640" s="11"/>
      <c r="D640" s="11"/>
      <c r="E640" s="12">
        <f>ROUND(0,2)</f>
        <v>0</v>
      </c>
      <c r="F640" s="12">
        <f aca="true" t="shared" si="325" ref="F640:F641">ROUND(26894.15,2)</f>
        <v>26894.15</v>
      </c>
      <c r="G640" s="12">
        <f>ROUND(26894.15,2)</f>
        <v>26894.15</v>
      </c>
      <c r="H640" s="12">
        <f>ROUND(26894.15,2)</f>
        <v>26894.15</v>
      </c>
      <c r="I640" s="13">
        <f>ROUND(26894.15,2)</f>
        <v>26894.15</v>
      </c>
      <c r="J640" s="13"/>
      <c r="K640" s="13">
        <f>ROUND(26894.15,2)</f>
        <v>26894.15</v>
      </c>
      <c r="L640" s="13"/>
      <c r="M640" s="12">
        <f>ROUND(26894.15,2)</f>
        <v>26894.15</v>
      </c>
      <c r="N640" s="12">
        <f>ROUND(26894.15,2)</f>
        <v>26894.15</v>
      </c>
      <c r="O640" s="12">
        <f aca="true" t="shared" si="326" ref="O640:O641">ROUND(0,2)</f>
        <v>0</v>
      </c>
      <c r="P640" s="14">
        <v>0</v>
      </c>
      <c r="Q640" s="14">
        <v>100</v>
      </c>
    </row>
    <row r="641" spans="1:17" ht="12.75" customHeight="1">
      <c r="A641" s="15" t="s">
        <v>420</v>
      </c>
      <c r="B641" s="15"/>
      <c r="C641" s="15"/>
      <c r="D641" s="15"/>
      <c r="E641" s="16" t="s">
        <v>421</v>
      </c>
      <c r="F641" s="17">
        <f t="shared" si="325"/>
        <v>26894.15</v>
      </c>
      <c r="G641" s="17">
        <f>ROUND(0,2)</f>
        <v>0</v>
      </c>
      <c r="H641" s="17">
        <f>ROUND(0,2)</f>
        <v>0</v>
      </c>
      <c r="I641" s="17">
        <f>ROUND(0,2)</f>
        <v>0</v>
      </c>
      <c r="J641" s="17"/>
      <c r="K641" s="17">
        <f>ROUND(0,2)</f>
        <v>0</v>
      </c>
      <c r="L641" s="17"/>
      <c r="M641" s="17">
        <f>ROUND(0,2)</f>
        <v>0</v>
      </c>
      <c r="N641" s="17">
        <f>ROUND(0,2)</f>
        <v>0</v>
      </c>
      <c r="O641" s="17">
        <f t="shared" si="326"/>
        <v>0</v>
      </c>
      <c r="P641" s="18">
        <v>100</v>
      </c>
      <c r="Q641" s="18">
        <v>100</v>
      </c>
    </row>
    <row r="642" spans="1:17" ht="12.75" customHeight="1">
      <c r="A642" s="10"/>
      <c r="B642" s="11" t="s">
        <v>422</v>
      </c>
      <c r="C642" s="11"/>
      <c r="D642" s="11"/>
      <c r="E642" s="12">
        <f>ROUND(40000,2)</f>
        <v>40000</v>
      </c>
      <c r="F642" s="12">
        <f aca="true" t="shared" si="327" ref="F642:F643">ROUND(0,2)</f>
        <v>0</v>
      </c>
      <c r="G642" s="12">
        <f>ROUND(40000,2)</f>
        <v>40000</v>
      </c>
      <c r="H642" s="12">
        <f>ROUND(11617.78,2)</f>
        <v>11617.78</v>
      </c>
      <c r="I642" s="13">
        <f>ROUND(11617.78,2)</f>
        <v>11617.78</v>
      </c>
      <c r="J642" s="13"/>
      <c r="K642" s="13">
        <f>ROUND(11617.78,2)</f>
        <v>11617.78</v>
      </c>
      <c r="L642" s="13"/>
      <c r="M642" s="12">
        <f>ROUND(11617.78,2)</f>
        <v>11617.78</v>
      </c>
      <c r="N642" s="12">
        <f>ROUND(11209.48,2)</f>
        <v>11209.48</v>
      </c>
      <c r="O642" s="12">
        <f aca="true" t="shared" si="328" ref="O642:O643">ROUND(28382.22,2)</f>
        <v>28382.22</v>
      </c>
      <c r="P642" s="14">
        <v>70.95555</v>
      </c>
      <c r="Q642" s="14">
        <v>29.044449999999998</v>
      </c>
    </row>
    <row r="643" spans="1:17" ht="12.75" customHeight="1">
      <c r="A643" s="15" t="s">
        <v>420</v>
      </c>
      <c r="B643" s="15"/>
      <c r="C643" s="15"/>
      <c r="D643" s="15"/>
      <c r="E643" s="16" t="s">
        <v>423</v>
      </c>
      <c r="F643" s="17">
        <f t="shared" si="327"/>
        <v>0</v>
      </c>
      <c r="G643" s="17">
        <f>ROUND(0,2)</f>
        <v>0</v>
      </c>
      <c r="H643" s="17">
        <f>ROUND(0,2)</f>
        <v>0</v>
      </c>
      <c r="I643" s="17">
        <f>ROUND(0,2)</f>
        <v>0</v>
      </c>
      <c r="J643" s="17"/>
      <c r="K643" s="17">
        <f>ROUND(0,2)</f>
        <v>0</v>
      </c>
      <c r="L643" s="17"/>
      <c r="M643" s="17">
        <f>ROUND(408.300000000001,2)</f>
        <v>408.3</v>
      </c>
      <c r="N643" s="17">
        <f>ROUND(0,2)</f>
        <v>0</v>
      </c>
      <c r="O643" s="17">
        <f t="shared" si="328"/>
        <v>28382.22</v>
      </c>
      <c r="P643" s="18">
        <v>29.044449999999998</v>
      </c>
      <c r="Q643" s="18">
        <v>96.48555920322126</v>
      </c>
    </row>
    <row r="644" spans="1:17" ht="12.75" customHeight="1">
      <c r="A644" s="19" t="s">
        <v>76</v>
      </c>
      <c r="B644" s="19"/>
      <c r="C644" s="19"/>
      <c r="D644" s="19"/>
      <c r="E644" s="20">
        <f>SUM('DS1'!$A$157:$A$158)</f>
        <v>40000</v>
      </c>
      <c r="F644" s="20">
        <v>26894.15</v>
      </c>
      <c r="G644" s="20">
        <v>66894.15</v>
      </c>
      <c r="H644" s="20">
        <v>38511.93</v>
      </c>
      <c r="I644" s="21">
        <v>38511.93</v>
      </c>
      <c r="J644" s="21"/>
      <c r="K644" s="21">
        <v>38511.93</v>
      </c>
      <c r="L644" s="21"/>
      <c r="M644" s="20">
        <v>38511.93</v>
      </c>
      <c r="N644" s="20">
        <v>38103.63</v>
      </c>
      <c r="O644" s="20">
        <v>28382.22</v>
      </c>
      <c r="P644" s="22">
        <v>42.42855316944756</v>
      </c>
      <c r="Q644" s="22">
        <v>57.57144683055245</v>
      </c>
    </row>
    <row r="645" spans="1:17" ht="12.75" customHeight="1">
      <c r="A645" s="23"/>
      <c r="B645" s="24"/>
      <c r="C645" s="24"/>
      <c r="D645" s="24"/>
      <c r="E645" s="23"/>
      <c r="F645" s="20">
        <v>26894.15</v>
      </c>
      <c r="G645" s="20">
        <v>0</v>
      </c>
      <c r="H645" s="20">
        <v>0</v>
      </c>
      <c r="I645" s="21">
        <v>0</v>
      </c>
      <c r="J645" s="21"/>
      <c r="K645" s="21">
        <v>0</v>
      </c>
      <c r="L645" s="21"/>
      <c r="M645" s="20">
        <v>408.3000000000011</v>
      </c>
      <c r="N645" s="20">
        <v>0</v>
      </c>
      <c r="O645" s="20">
        <v>28382.22</v>
      </c>
      <c r="P645" s="22">
        <v>57.57144683055245</v>
      </c>
      <c r="Q645" s="22">
        <v>98.93980904099067</v>
      </c>
    </row>
    <row r="646" spans="1:17" ht="20.25" customHeight="1">
      <c r="A646" s="23"/>
      <c r="B646" s="24"/>
      <c r="C646" s="24"/>
      <c r="D646" s="24"/>
      <c r="E646" s="23"/>
      <c r="F646" s="23"/>
      <c r="G646" s="23"/>
      <c r="H646" s="23"/>
      <c r="I646" s="24"/>
      <c r="J646" s="24"/>
      <c r="K646" s="24"/>
      <c r="L646" s="24"/>
      <c r="M646" s="23"/>
      <c r="N646" s="23"/>
      <c r="O646" s="23"/>
      <c r="P646" s="23"/>
      <c r="Q646" s="23"/>
    </row>
    <row r="647" spans="1:17" ht="12.75" customHeight="1">
      <c r="A647" s="10"/>
      <c r="B647" s="11" t="s">
        <v>424</v>
      </c>
      <c r="C647" s="11"/>
      <c r="D647" s="11"/>
      <c r="E647" s="12">
        <f>ROUND(10000,2)</f>
        <v>10000</v>
      </c>
      <c r="F647" s="12">
        <f aca="true" t="shared" si="329" ref="F647:F648">ROUND(0,2)</f>
        <v>0</v>
      </c>
      <c r="G647" s="12">
        <f>ROUND(10000,2)</f>
        <v>10000</v>
      </c>
      <c r="H647" s="12">
        <f>ROUND(761.92,2)</f>
        <v>761.92</v>
      </c>
      <c r="I647" s="13">
        <f>ROUND(761.92,2)</f>
        <v>761.92</v>
      </c>
      <c r="J647" s="13"/>
      <c r="K647" s="13">
        <f>ROUND(761.92,2)</f>
        <v>761.92</v>
      </c>
      <c r="L647" s="13"/>
      <c r="M647" s="12">
        <f>ROUND(761.92,2)</f>
        <v>761.92</v>
      </c>
      <c r="N647" s="12">
        <f>ROUND(761.92,2)</f>
        <v>761.92</v>
      </c>
      <c r="O647" s="12">
        <f aca="true" t="shared" si="330" ref="O647:O648">ROUND(9238.08,2)</f>
        <v>9238.08</v>
      </c>
      <c r="P647" s="14">
        <v>92.3808</v>
      </c>
      <c r="Q647" s="14">
        <v>7.619199999999999</v>
      </c>
    </row>
    <row r="648" spans="1:17" ht="12.75" customHeight="1">
      <c r="A648" s="15" t="s">
        <v>425</v>
      </c>
      <c r="B648" s="15"/>
      <c r="C648" s="15"/>
      <c r="D648" s="15"/>
      <c r="E648" s="16" t="s">
        <v>423</v>
      </c>
      <c r="F648" s="17">
        <f t="shared" si="329"/>
        <v>0</v>
      </c>
      <c r="G648" s="17">
        <f>ROUND(0,2)</f>
        <v>0</v>
      </c>
      <c r="H648" s="17">
        <f>ROUND(0,2)</f>
        <v>0</v>
      </c>
      <c r="I648" s="17">
        <f>ROUND(0,2)</f>
        <v>0</v>
      </c>
      <c r="J648" s="17"/>
      <c r="K648" s="17">
        <f>ROUND(0,2)</f>
        <v>0</v>
      </c>
      <c r="L648" s="17"/>
      <c r="M648" s="17">
        <f>ROUND(0,2)</f>
        <v>0</v>
      </c>
      <c r="N648" s="17">
        <f>ROUND(0,2)</f>
        <v>0</v>
      </c>
      <c r="O648" s="17">
        <f t="shared" si="330"/>
        <v>9238.08</v>
      </c>
      <c r="P648" s="18">
        <v>7.619199999999999</v>
      </c>
      <c r="Q648" s="18">
        <v>100</v>
      </c>
    </row>
    <row r="649" spans="1:17" ht="12.75" customHeight="1">
      <c r="A649" s="19" t="s">
        <v>79</v>
      </c>
      <c r="B649" s="19"/>
      <c r="C649" s="19"/>
      <c r="D649" s="19"/>
      <c r="E649" s="20">
        <f>SUM('DS1'!$A$159)</f>
        <v>10000</v>
      </c>
      <c r="F649" s="20">
        <v>0</v>
      </c>
      <c r="G649" s="20">
        <v>10000</v>
      </c>
      <c r="H649" s="20">
        <v>761.92</v>
      </c>
      <c r="I649" s="21">
        <v>761.92</v>
      </c>
      <c r="J649" s="21"/>
      <c r="K649" s="21">
        <v>761.92</v>
      </c>
      <c r="L649" s="21"/>
      <c r="M649" s="20">
        <v>761.92</v>
      </c>
      <c r="N649" s="20">
        <v>761.92</v>
      </c>
      <c r="O649" s="20">
        <v>9238.08</v>
      </c>
      <c r="P649" s="22">
        <v>92.3808</v>
      </c>
      <c r="Q649" s="22">
        <v>7.619199999999999</v>
      </c>
    </row>
    <row r="650" spans="1:17" ht="12.75" customHeight="1">
      <c r="A650" s="23"/>
      <c r="B650" s="24"/>
      <c r="C650" s="24"/>
      <c r="D650" s="24"/>
      <c r="E650" s="23"/>
      <c r="F650" s="20">
        <v>0</v>
      </c>
      <c r="G650" s="20">
        <v>0</v>
      </c>
      <c r="H650" s="20">
        <v>0</v>
      </c>
      <c r="I650" s="21">
        <v>0</v>
      </c>
      <c r="J650" s="21"/>
      <c r="K650" s="21">
        <v>0</v>
      </c>
      <c r="L650" s="21"/>
      <c r="M650" s="20">
        <v>0</v>
      </c>
      <c r="N650" s="20">
        <v>0</v>
      </c>
      <c r="O650" s="20">
        <v>9238.08</v>
      </c>
      <c r="P650" s="22">
        <v>7.619199999999999</v>
      </c>
      <c r="Q650" s="22">
        <v>100</v>
      </c>
    </row>
    <row r="651" spans="1:17" ht="20.25" customHeight="1">
      <c r="A651" s="23"/>
      <c r="B651" s="24"/>
      <c r="C651" s="24"/>
      <c r="D651" s="24"/>
      <c r="E651" s="23"/>
      <c r="F651" s="23"/>
      <c r="G651" s="23"/>
      <c r="H651" s="23"/>
      <c r="I651" s="24"/>
      <c r="J651" s="24"/>
      <c r="K651" s="24"/>
      <c r="L651" s="24"/>
      <c r="M651" s="23"/>
      <c r="N651" s="23"/>
      <c r="O651" s="23"/>
      <c r="P651" s="23"/>
      <c r="Q651" s="23"/>
    </row>
    <row r="652" spans="1:17" ht="12.75" customHeight="1">
      <c r="A652" s="10"/>
      <c r="B652" s="11" t="s">
        <v>426</v>
      </c>
      <c r="C652" s="11"/>
      <c r="D652" s="11"/>
      <c r="E652" s="12">
        <f>ROUND(7000,2)</f>
        <v>7000</v>
      </c>
      <c r="F652" s="12">
        <f aca="true" t="shared" si="331" ref="F652:F653">ROUND(0,2)</f>
        <v>0</v>
      </c>
      <c r="G652" s="12">
        <f>ROUND(7000,2)</f>
        <v>7000</v>
      </c>
      <c r="H652" s="12">
        <f>ROUND(5110.73,2)</f>
        <v>5110.73</v>
      </c>
      <c r="I652" s="13">
        <f>ROUND(5110.73,2)</f>
        <v>5110.73</v>
      </c>
      <c r="J652" s="13"/>
      <c r="K652" s="13">
        <f>ROUND(5110.73,2)</f>
        <v>5110.73</v>
      </c>
      <c r="L652" s="13"/>
      <c r="M652" s="12">
        <f>ROUND(5110.73,2)</f>
        <v>5110.73</v>
      </c>
      <c r="N652" s="12">
        <f>ROUND(4940.34,2)</f>
        <v>4940.34</v>
      </c>
      <c r="O652" s="12">
        <f>ROUND(1889.27,2)</f>
        <v>1889.27</v>
      </c>
      <c r="P652" s="14">
        <v>26.98957142857143</v>
      </c>
      <c r="Q652" s="14">
        <v>73.01042857142856</v>
      </c>
    </row>
    <row r="653" spans="1:17" ht="12.75" customHeight="1">
      <c r="A653" s="15" t="s">
        <v>427</v>
      </c>
      <c r="B653" s="15"/>
      <c r="C653" s="15"/>
      <c r="D653" s="15"/>
      <c r="E653" s="16" t="s">
        <v>423</v>
      </c>
      <c r="F653" s="17">
        <f t="shared" si="331"/>
        <v>0</v>
      </c>
      <c r="G653" s="17">
        <f>ROUND(0,2)</f>
        <v>0</v>
      </c>
      <c r="H653" s="17">
        <f>ROUND(0,2)</f>
        <v>0</v>
      </c>
      <c r="I653" s="17">
        <f>ROUND(0,2)</f>
        <v>0</v>
      </c>
      <c r="J653" s="17"/>
      <c r="K653" s="17">
        <f>ROUND(0,2)</f>
        <v>0</v>
      </c>
      <c r="L653" s="17"/>
      <c r="M653" s="17">
        <f>ROUND(170.389999999999,2)</f>
        <v>170.39</v>
      </c>
      <c r="N653" s="17">
        <f>ROUND(0,2)</f>
        <v>0</v>
      </c>
      <c r="O653" s="17">
        <f>ROUND(1889.27,2)</f>
        <v>1889.27</v>
      </c>
      <c r="P653" s="18">
        <v>73.01042857142856</v>
      </c>
      <c r="Q653" s="18">
        <v>96.6660340107969</v>
      </c>
    </row>
    <row r="654" spans="1:17" ht="12.75" customHeight="1">
      <c r="A654" s="19" t="s">
        <v>82</v>
      </c>
      <c r="B654" s="19"/>
      <c r="C654" s="19"/>
      <c r="D654" s="19"/>
      <c r="E654" s="20">
        <f>SUM('DS1'!$A$160)</f>
        <v>7000</v>
      </c>
      <c r="F654" s="20">
        <v>0</v>
      </c>
      <c r="G654" s="20">
        <v>7000</v>
      </c>
      <c r="H654" s="20">
        <v>5110.73</v>
      </c>
      <c r="I654" s="21">
        <v>5110.73</v>
      </c>
      <c r="J654" s="21"/>
      <c r="K654" s="21">
        <v>5110.73</v>
      </c>
      <c r="L654" s="21"/>
      <c r="M654" s="20">
        <v>5110.73</v>
      </c>
      <c r="N654" s="20">
        <v>4940.34</v>
      </c>
      <c r="O654" s="20">
        <v>1889.27</v>
      </c>
      <c r="P654" s="22">
        <v>26.98957142857143</v>
      </c>
      <c r="Q654" s="22">
        <v>73.01042857142856</v>
      </c>
    </row>
    <row r="655" spans="1:17" ht="12.75" customHeight="1">
      <c r="A655" s="23"/>
      <c r="B655" s="24"/>
      <c r="C655" s="24"/>
      <c r="D655" s="24"/>
      <c r="E655" s="23"/>
      <c r="F655" s="20">
        <v>0</v>
      </c>
      <c r="G655" s="20">
        <v>0</v>
      </c>
      <c r="H655" s="20">
        <v>0</v>
      </c>
      <c r="I655" s="21">
        <v>0</v>
      </c>
      <c r="J655" s="21"/>
      <c r="K655" s="21">
        <v>0</v>
      </c>
      <c r="L655" s="21"/>
      <c r="M655" s="20">
        <v>170.38999999999942</v>
      </c>
      <c r="N655" s="20">
        <v>0</v>
      </c>
      <c r="O655" s="20">
        <v>1889.2700000000004</v>
      </c>
      <c r="P655" s="22">
        <v>73.01042857142856</v>
      </c>
      <c r="Q655" s="22">
        <v>96.6660340107969</v>
      </c>
    </row>
    <row r="656" spans="1:17" ht="20.25" customHeight="1">
      <c r="A656" s="23"/>
      <c r="B656" s="24"/>
      <c r="C656" s="24"/>
      <c r="D656" s="24"/>
      <c r="E656" s="23"/>
      <c r="F656" s="23"/>
      <c r="G656" s="23"/>
      <c r="H656" s="23"/>
      <c r="I656" s="24"/>
      <c r="J656" s="24"/>
      <c r="K656" s="24"/>
      <c r="L656" s="24"/>
      <c r="M656" s="23"/>
      <c r="N656" s="23"/>
      <c r="O656" s="23"/>
      <c r="P656" s="23"/>
      <c r="Q656" s="23"/>
    </row>
    <row r="657" spans="1:17" ht="12.75" customHeight="1">
      <c r="A657" s="10"/>
      <c r="B657" s="11" t="s">
        <v>428</v>
      </c>
      <c r="C657" s="11"/>
      <c r="D657" s="11"/>
      <c r="E657" s="12">
        <f>ROUND(8000,2)</f>
        <v>8000</v>
      </c>
      <c r="F657" s="12">
        <f aca="true" t="shared" si="332" ref="F657:F670">ROUND(0,2)</f>
        <v>0</v>
      </c>
      <c r="G657" s="12">
        <f>ROUND(8000,2)</f>
        <v>8000</v>
      </c>
      <c r="H657" s="12">
        <f>ROUND(7301.4,2)</f>
        <v>7301.4</v>
      </c>
      <c r="I657" s="13">
        <f>ROUND(7301.4,2)</f>
        <v>7301.4</v>
      </c>
      <c r="J657" s="13"/>
      <c r="K657" s="13">
        <f>ROUND(7301.4,2)</f>
        <v>7301.4</v>
      </c>
      <c r="L657" s="13"/>
      <c r="M657" s="12">
        <f>ROUND(7301.4,2)</f>
        <v>7301.4</v>
      </c>
      <c r="N657" s="12">
        <f>ROUND(6274.12,2)</f>
        <v>6274.12</v>
      </c>
      <c r="O657" s="12">
        <f>ROUND(698.6,2)</f>
        <v>698.6</v>
      </c>
      <c r="P657" s="14">
        <v>8.7325</v>
      </c>
      <c r="Q657" s="14">
        <v>91.26749999999998</v>
      </c>
    </row>
    <row r="658" spans="1:17" ht="12.75" customHeight="1">
      <c r="A658" s="15" t="s">
        <v>429</v>
      </c>
      <c r="B658" s="15"/>
      <c r="C658" s="15"/>
      <c r="D658" s="15"/>
      <c r="E658" s="16" t="s">
        <v>430</v>
      </c>
      <c r="F658" s="17">
        <f t="shared" si="332"/>
        <v>0</v>
      </c>
      <c r="G658" s="17">
        <f>ROUND(0,2)</f>
        <v>0</v>
      </c>
      <c r="H658" s="17">
        <f>ROUND(0,2)</f>
        <v>0</v>
      </c>
      <c r="I658" s="17">
        <f>ROUND(0,2)</f>
        <v>0</v>
      </c>
      <c r="J658" s="17"/>
      <c r="K658" s="17">
        <f>ROUND(0,2)</f>
        <v>0</v>
      </c>
      <c r="L658" s="17"/>
      <c r="M658" s="17">
        <f>ROUND(1027.28,2)</f>
        <v>1027.28</v>
      </c>
      <c r="N658" s="17">
        <f>ROUND(0,2)</f>
        <v>0</v>
      </c>
      <c r="O658" s="17">
        <f>ROUND(698.6,2)</f>
        <v>698.6</v>
      </c>
      <c r="P658" s="18">
        <v>91.26749999999998</v>
      </c>
      <c r="Q658" s="18">
        <v>85.9303695181746</v>
      </c>
    </row>
    <row r="659" spans="1:17" ht="12.75" customHeight="1">
      <c r="A659" s="10"/>
      <c r="B659" s="11" t="s">
        <v>431</v>
      </c>
      <c r="C659" s="11"/>
      <c r="D659" s="11"/>
      <c r="E659" s="12">
        <f>ROUND(25000,2)</f>
        <v>25000</v>
      </c>
      <c r="F659" s="12">
        <f t="shared" si="332"/>
        <v>0</v>
      </c>
      <c r="G659" s="12">
        <f>ROUND(25000,2)</f>
        <v>25000</v>
      </c>
      <c r="H659" s="12">
        <f>ROUND(3221.07,2)</f>
        <v>3221.07</v>
      </c>
      <c r="I659" s="13">
        <f>ROUND(3221.07,2)</f>
        <v>3221.07</v>
      </c>
      <c r="J659" s="13"/>
      <c r="K659" s="13">
        <f>ROUND(3221.07,2)</f>
        <v>3221.07</v>
      </c>
      <c r="L659" s="13"/>
      <c r="M659" s="12">
        <f>ROUND(3221.07,2)</f>
        <v>3221.07</v>
      </c>
      <c r="N659" s="12">
        <f>ROUND(3221.07,2)</f>
        <v>3221.07</v>
      </c>
      <c r="O659" s="12">
        <f aca="true" t="shared" si="333" ref="O659:O660">ROUND(21778.93,2)</f>
        <v>21778.93</v>
      </c>
      <c r="P659" s="14">
        <v>87.11572</v>
      </c>
      <c r="Q659" s="14">
        <v>12.88428</v>
      </c>
    </row>
    <row r="660" spans="1:17" ht="12.75" customHeight="1">
      <c r="A660" s="15" t="s">
        <v>432</v>
      </c>
      <c r="B660" s="15"/>
      <c r="C660" s="15"/>
      <c r="D660" s="15"/>
      <c r="E660" s="16" t="s">
        <v>430</v>
      </c>
      <c r="F660" s="17">
        <f t="shared" si="332"/>
        <v>0</v>
      </c>
      <c r="G660" s="17">
        <f>ROUND(0,2)</f>
        <v>0</v>
      </c>
      <c r="H660" s="17">
        <f>ROUND(0,2)</f>
        <v>0</v>
      </c>
      <c r="I660" s="17">
        <f>ROUND(0,2)</f>
        <v>0</v>
      </c>
      <c r="J660" s="17"/>
      <c r="K660" s="17">
        <f>ROUND(0,2)</f>
        <v>0</v>
      </c>
      <c r="L660" s="17"/>
      <c r="M660" s="17">
        <f>ROUND(0,2)</f>
        <v>0</v>
      </c>
      <c r="N660" s="17">
        <f>ROUND(0,2)</f>
        <v>0</v>
      </c>
      <c r="O660" s="17">
        <f t="shared" si="333"/>
        <v>21778.93</v>
      </c>
      <c r="P660" s="18">
        <v>12.88428</v>
      </c>
      <c r="Q660" s="18">
        <v>100</v>
      </c>
    </row>
    <row r="661" spans="1:17" ht="12.75" customHeight="1">
      <c r="A661" s="10"/>
      <c r="B661" s="11" t="s">
        <v>433</v>
      </c>
      <c r="C661" s="11"/>
      <c r="D661" s="11"/>
      <c r="E661" s="12">
        <f>ROUND(600,2)</f>
        <v>600</v>
      </c>
      <c r="F661" s="12">
        <f t="shared" si="332"/>
        <v>0</v>
      </c>
      <c r="G661" s="12">
        <f>ROUND(600,2)</f>
        <v>600</v>
      </c>
      <c r="H661" s="12">
        <f>ROUND(78.71,2)</f>
        <v>78.71</v>
      </c>
      <c r="I661" s="13">
        <f>ROUND(78.71,2)</f>
        <v>78.71</v>
      </c>
      <c r="J661" s="13"/>
      <c r="K661" s="13">
        <f>ROUND(78.71,2)</f>
        <v>78.71</v>
      </c>
      <c r="L661" s="13"/>
      <c r="M661" s="12">
        <f>ROUND(78.71,2)</f>
        <v>78.71</v>
      </c>
      <c r="N661" s="12">
        <f>ROUND(78.71,2)</f>
        <v>78.71</v>
      </c>
      <c r="O661" s="12">
        <f aca="true" t="shared" si="334" ref="O661:O662">ROUND(521.29,2)</f>
        <v>521.29</v>
      </c>
      <c r="P661" s="14">
        <v>86.88166666666666</v>
      </c>
      <c r="Q661" s="14">
        <v>13.118333333333332</v>
      </c>
    </row>
    <row r="662" spans="1:17" ht="12.75" customHeight="1">
      <c r="A662" s="15" t="s">
        <v>434</v>
      </c>
      <c r="B662" s="15"/>
      <c r="C662" s="15"/>
      <c r="D662" s="15"/>
      <c r="E662" s="16" t="s">
        <v>430</v>
      </c>
      <c r="F662" s="17">
        <f t="shared" si="332"/>
        <v>0</v>
      </c>
      <c r="G662" s="17">
        <f>ROUND(0,2)</f>
        <v>0</v>
      </c>
      <c r="H662" s="17">
        <f>ROUND(0,2)</f>
        <v>0</v>
      </c>
      <c r="I662" s="17">
        <f>ROUND(0,2)</f>
        <v>0</v>
      </c>
      <c r="J662" s="17"/>
      <c r="K662" s="17">
        <f>ROUND(0,2)</f>
        <v>0</v>
      </c>
      <c r="L662" s="17"/>
      <c r="M662" s="17">
        <f>ROUND(0,2)</f>
        <v>0</v>
      </c>
      <c r="N662" s="17">
        <f>ROUND(0,2)</f>
        <v>0</v>
      </c>
      <c r="O662" s="17">
        <f t="shared" si="334"/>
        <v>521.29</v>
      </c>
      <c r="P662" s="18">
        <v>13.118333333333332</v>
      </c>
      <c r="Q662" s="18">
        <v>100</v>
      </c>
    </row>
    <row r="663" spans="1:17" ht="12.75" customHeight="1">
      <c r="A663" s="10"/>
      <c r="B663" s="11" t="s">
        <v>435</v>
      </c>
      <c r="C663" s="11"/>
      <c r="D663" s="11"/>
      <c r="E663" s="12">
        <f>ROUND(105000,2)</f>
        <v>105000</v>
      </c>
      <c r="F663" s="12">
        <f t="shared" si="332"/>
        <v>0</v>
      </c>
      <c r="G663" s="12">
        <f>ROUND(105000,2)</f>
        <v>105000</v>
      </c>
      <c r="H663" s="12">
        <f>ROUND(19345.85,2)</f>
        <v>19345.85</v>
      </c>
      <c r="I663" s="13">
        <f>ROUND(19345.85,2)</f>
        <v>19345.85</v>
      </c>
      <c r="J663" s="13"/>
      <c r="K663" s="13">
        <f>ROUND(19345.85,2)</f>
        <v>19345.85</v>
      </c>
      <c r="L663" s="13"/>
      <c r="M663" s="12">
        <f>ROUND(19345.85,2)</f>
        <v>19345.85</v>
      </c>
      <c r="N663" s="12">
        <f>ROUND(19345.85,2)</f>
        <v>19345.85</v>
      </c>
      <c r="O663" s="12">
        <f aca="true" t="shared" si="335" ref="O663:O664">ROUND(85654.15,2)</f>
        <v>85654.15</v>
      </c>
      <c r="P663" s="14">
        <v>81.57538095238095</v>
      </c>
      <c r="Q663" s="14">
        <v>18.424619047619046</v>
      </c>
    </row>
    <row r="664" spans="1:17" ht="12.75" customHeight="1">
      <c r="A664" s="15" t="s">
        <v>436</v>
      </c>
      <c r="B664" s="15"/>
      <c r="C664" s="15"/>
      <c r="D664" s="15"/>
      <c r="E664" s="16" t="s">
        <v>430</v>
      </c>
      <c r="F664" s="17">
        <f t="shared" si="332"/>
        <v>0</v>
      </c>
      <c r="G664" s="17">
        <f>ROUND(0,2)</f>
        <v>0</v>
      </c>
      <c r="H664" s="17">
        <f aca="true" t="shared" si="336" ref="H664:H666">ROUND(0,2)</f>
        <v>0</v>
      </c>
      <c r="I664" s="17">
        <f aca="true" t="shared" si="337" ref="I664:I666">ROUND(0,2)</f>
        <v>0</v>
      </c>
      <c r="J664" s="17"/>
      <c r="K664" s="17">
        <f aca="true" t="shared" si="338" ref="K664:K666">ROUND(0,2)</f>
        <v>0</v>
      </c>
      <c r="L664" s="17"/>
      <c r="M664" s="17">
        <f aca="true" t="shared" si="339" ref="M664:M666">ROUND(0,2)</f>
        <v>0</v>
      </c>
      <c r="N664" s="17">
        <f aca="true" t="shared" si="340" ref="N664:N666">ROUND(0,2)</f>
        <v>0</v>
      </c>
      <c r="O664" s="17">
        <f t="shared" si="335"/>
        <v>85654.15</v>
      </c>
      <c r="P664" s="18">
        <v>18.424619047619046</v>
      </c>
      <c r="Q664" s="18">
        <v>100</v>
      </c>
    </row>
    <row r="665" spans="1:17" ht="12.75" customHeight="1">
      <c r="A665" s="10"/>
      <c r="B665" s="11" t="s">
        <v>437</v>
      </c>
      <c r="C665" s="11"/>
      <c r="D665" s="11"/>
      <c r="E665" s="12">
        <f>ROUND(500,2)</f>
        <v>500</v>
      </c>
      <c r="F665" s="12">
        <f t="shared" si="332"/>
        <v>0</v>
      </c>
      <c r="G665" s="12">
        <f>ROUND(500,2)</f>
        <v>500</v>
      </c>
      <c r="H665" s="12">
        <f t="shared" si="336"/>
        <v>0</v>
      </c>
      <c r="I665" s="13">
        <f t="shared" si="337"/>
        <v>0</v>
      </c>
      <c r="J665" s="13"/>
      <c r="K665" s="13">
        <f t="shared" si="338"/>
        <v>0</v>
      </c>
      <c r="L665" s="13"/>
      <c r="M665" s="12">
        <f t="shared" si="339"/>
        <v>0</v>
      </c>
      <c r="N665" s="12">
        <f t="shared" si="340"/>
        <v>0</v>
      </c>
      <c r="O665" s="12">
        <f aca="true" t="shared" si="341" ref="O665:O666">ROUND(500,2)</f>
        <v>500</v>
      </c>
      <c r="P665" s="14">
        <v>100</v>
      </c>
      <c r="Q665" s="14">
        <v>0</v>
      </c>
    </row>
    <row r="666" spans="1:17" ht="12.75" customHeight="1">
      <c r="A666" s="15" t="s">
        <v>438</v>
      </c>
      <c r="B666" s="15"/>
      <c r="C666" s="15"/>
      <c r="D666" s="15"/>
      <c r="E666" s="16" t="s">
        <v>430</v>
      </c>
      <c r="F666" s="17">
        <f t="shared" si="332"/>
        <v>0</v>
      </c>
      <c r="G666" s="17">
        <f>ROUND(0,2)</f>
        <v>0</v>
      </c>
      <c r="H666" s="17">
        <f t="shared" si="336"/>
        <v>0</v>
      </c>
      <c r="I666" s="17">
        <f t="shared" si="337"/>
        <v>0</v>
      </c>
      <c r="J666" s="17"/>
      <c r="K666" s="17">
        <f t="shared" si="338"/>
        <v>0</v>
      </c>
      <c r="L666" s="17"/>
      <c r="M666" s="17">
        <f t="shared" si="339"/>
        <v>0</v>
      </c>
      <c r="N666" s="17">
        <f t="shared" si="340"/>
        <v>0</v>
      </c>
      <c r="O666" s="17">
        <f t="shared" si="341"/>
        <v>500</v>
      </c>
      <c r="P666" s="18">
        <v>0</v>
      </c>
      <c r="Q666" s="18">
        <v>0</v>
      </c>
    </row>
    <row r="667" spans="1:17" ht="12.75" customHeight="1">
      <c r="A667" s="10"/>
      <c r="B667" s="11" t="s">
        <v>439</v>
      </c>
      <c r="C667" s="11"/>
      <c r="D667" s="11"/>
      <c r="E667" s="12">
        <f>ROUND(6000,2)</f>
        <v>6000</v>
      </c>
      <c r="F667" s="12">
        <f t="shared" si="332"/>
        <v>0</v>
      </c>
      <c r="G667" s="12">
        <f>ROUND(6000,2)</f>
        <v>6000</v>
      </c>
      <c r="H667" s="12">
        <f>ROUND(1311.12,2)</f>
        <v>1311.12</v>
      </c>
      <c r="I667" s="13">
        <f>ROUND(1311.12,2)</f>
        <v>1311.12</v>
      </c>
      <c r="J667" s="13"/>
      <c r="K667" s="13">
        <f>ROUND(1311.12,2)</f>
        <v>1311.12</v>
      </c>
      <c r="L667" s="13"/>
      <c r="M667" s="12">
        <f>ROUND(1311.12,2)</f>
        <v>1311.12</v>
      </c>
      <c r="N667" s="12">
        <f>ROUND(1290.57,2)</f>
        <v>1290.57</v>
      </c>
      <c r="O667" s="12">
        <f aca="true" t="shared" si="342" ref="O667:O668">ROUND(4688.88,2)</f>
        <v>4688.88</v>
      </c>
      <c r="P667" s="14">
        <v>78.14800000000001</v>
      </c>
      <c r="Q667" s="14">
        <v>21.852</v>
      </c>
    </row>
    <row r="668" spans="1:17" ht="12.75" customHeight="1">
      <c r="A668" s="15" t="s">
        <v>440</v>
      </c>
      <c r="B668" s="15"/>
      <c r="C668" s="15"/>
      <c r="D668" s="15"/>
      <c r="E668" s="16" t="s">
        <v>430</v>
      </c>
      <c r="F668" s="17">
        <f t="shared" si="332"/>
        <v>0</v>
      </c>
      <c r="G668" s="17">
        <f>ROUND(0,2)</f>
        <v>0</v>
      </c>
      <c r="H668" s="17">
        <f>ROUND(0,2)</f>
        <v>0</v>
      </c>
      <c r="I668" s="17">
        <f>ROUND(0,2)</f>
        <v>0</v>
      </c>
      <c r="J668" s="17"/>
      <c r="K668" s="17">
        <f>ROUND(0,2)</f>
        <v>0</v>
      </c>
      <c r="L668" s="17"/>
      <c r="M668" s="17">
        <f>ROUND(20.55,2)</f>
        <v>20.55</v>
      </c>
      <c r="N668" s="17">
        <f>ROUND(0,2)</f>
        <v>0</v>
      </c>
      <c r="O668" s="17">
        <f t="shared" si="342"/>
        <v>4688.88</v>
      </c>
      <c r="P668" s="18">
        <v>21.852</v>
      </c>
      <c r="Q668" s="18">
        <v>98.43263774482885</v>
      </c>
    </row>
    <row r="669" spans="1:17" ht="12.75" customHeight="1">
      <c r="A669" s="10"/>
      <c r="B669" s="11" t="s">
        <v>441</v>
      </c>
      <c r="C669" s="11"/>
      <c r="D669" s="11"/>
      <c r="E669" s="12">
        <f>ROUND(24000,2)</f>
        <v>24000</v>
      </c>
      <c r="F669" s="12">
        <f t="shared" si="332"/>
        <v>0</v>
      </c>
      <c r="G669" s="12">
        <f>ROUND(24000,2)</f>
        <v>24000</v>
      </c>
      <c r="H669" s="12">
        <f>ROUND(31168.35,2)</f>
        <v>31168.35</v>
      </c>
      <c r="I669" s="13">
        <f>ROUND(31168.35,2)</f>
        <v>31168.35</v>
      </c>
      <c r="J669" s="13"/>
      <c r="K669" s="13">
        <f>ROUND(31168.35,2)</f>
        <v>31168.35</v>
      </c>
      <c r="L669" s="13"/>
      <c r="M669" s="12">
        <f>ROUND(31168.35,2)</f>
        <v>31168.35</v>
      </c>
      <c r="N669" s="12">
        <f>ROUND(29187.2,2)</f>
        <v>29187.2</v>
      </c>
      <c r="O669" s="12">
        <f>ROUND(-7168.35,2)</f>
        <v>-7168.35</v>
      </c>
      <c r="P669" s="14">
        <v>-29.868125</v>
      </c>
      <c r="Q669" s="14">
        <v>129.868125</v>
      </c>
    </row>
    <row r="670" spans="1:17" ht="12.75" customHeight="1">
      <c r="A670" s="15" t="s">
        <v>442</v>
      </c>
      <c r="B670" s="15"/>
      <c r="C670" s="15"/>
      <c r="D670" s="15"/>
      <c r="E670" s="16" t="s">
        <v>430</v>
      </c>
      <c r="F670" s="17">
        <f t="shared" si="332"/>
        <v>0</v>
      </c>
      <c r="G670" s="17">
        <f>ROUND(0,2)</f>
        <v>0</v>
      </c>
      <c r="H670" s="17">
        <f>ROUND(0,2)</f>
        <v>0</v>
      </c>
      <c r="I670" s="17">
        <f>ROUND(0,2)</f>
        <v>0</v>
      </c>
      <c r="J670" s="17"/>
      <c r="K670" s="17">
        <f>ROUND(0,2)</f>
        <v>0</v>
      </c>
      <c r="L670" s="17"/>
      <c r="M670" s="17">
        <f>ROUND(1981.15,2)</f>
        <v>1981.15</v>
      </c>
      <c r="N670" s="17">
        <f>ROUND(0,2)</f>
        <v>0</v>
      </c>
      <c r="O670" s="17">
        <f>ROUND(-7168.35,2)</f>
        <v>-7168.35</v>
      </c>
      <c r="P670" s="18">
        <v>129.868125</v>
      </c>
      <c r="Q670" s="18">
        <v>93.64371229147518</v>
      </c>
    </row>
    <row r="671" spans="1:17" ht="12.75" customHeight="1">
      <c r="A671" s="19" t="s">
        <v>92</v>
      </c>
      <c r="B671" s="19"/>
      <c r="C671" s="19"/>
      <c r="D671" s="19"/>
      <c r="E671" s="20">
        <f>SUM('DS1'!$A$161:$A$167)</f>
        <v>169100</v>
      </c>
      <c r="F671" s="20">
        <v>0</v>
      </c>
      <c r="G671" s="20">
        <v>169100</v>
      </c>
      <c r="H671" s="20">
        <v>62426.5</v>
      </c>
      <c r="I671" s="21">
        <v>62426.5</v>
      </c>
      <c r="J671" s="21"/>
      <c r="K671" s="21">
        <v>62426.5</v>
      </c>
      <c r="L671" s="21"/>
      <c r="M671" s="20">
        <v>62426.5</v>
      </c>
      <c r="N671" s="20">
        <v>59397.52</v>
      </c>
      <c r="O671" s="20">
        <v>106673.5</v>
      </c>
      <c r="P671" s="22">
        <v>63.083086930810175</v>
      </c>
      <c r="Q671" s="22">
        <v>36.916913069189825</v>
      </c>
    </row>
    <row r="672" spans="1:17" ht="12.75" customHeight="1">
      <c r="A672" s="23"/>
      <c r="B672" s="24"/>
      <c r="C672" s="24"/>
      <c r="D672" s="24"/>
      <c r="E672" s="23"/>
      <c r="F672" s="20">
        <v>0</v>
      </c>
      <c r="G672" s="20">
        <v>0</v>
      </c>
      <c r="H672" s="20">
        <v>0</v>
      </c>
      <c r="I672" s="21">
        <v>0</v>
      </c>
      <c r="J672" s="21"/>
      <c r="K672" s="21">
        <v>0</v>
      </c>
      <c r="L672" s="21"/>
      <c r="M672" s="20">
        <v>3028.9799999999977</v>
      </c>
      <c r="N672" s="20">
        <v>0</v>
      </c>
      <c r="O672" s="20">
        <v>106673.5</v>
      </c>
      <c r="P672" s="22">
        <v>36.916913069189825</v>
      </c>
      <c r="Q672" s="22">
        <v>95.14792596093005</v>
      </c>
    </row>
    <row r="673" spans="1:17" ht="20.25" customHeight="1">
      <c r="A673" s="23"/>
      <c r="B673" s="24"/>
      <c r="C673" s="24"/>
      <c r="D673" s="24"/>
      <c r="E673" s="23"/>
      <c r="F673" s="23"/>
      <c r="G673" s="23"/>
      <c r="H673" s="23"/>
      <c r="I673" s="24"/>
      <c r="J673" s="24"/>
      <c r="K673" s="24"/>
      <c r="L673" s="24"/>
      <c r="M673" s="23"/>
      <c r="N673" s="23"/>
      <c r="O673" s="23"/>
      <c r="P673" s="23"/>
      <c r="Q673" s="23"/>
    </row>
    <row r="674" spans="1:17" ht="12.75" customHeight="1">
      <c r="A674" s="10"/>
      <c r="B674" s="11" t="s">
        <v>443</v>
      </c>
      <c r="C674" s="11"/>
      <c r="D674" s="11"/>
      <c r="E674" s="12">
        <f>ROUND(150000,2)</f>
        <v>150000</v>
      </c>
      <c r="F674" s="12">
        <f aca="true" t="shared" si="343" ref="F674:F675">ROUND(0,2)</f>
        <v>0</v>
      </c>
      <c r="G674" s="12">
        <f>ROUND(150000,2)</f>
        <v>150000</v>
      </c>
      <c r="H674" s="12">
        <f>ROUND(53723.59,2)</f>
        <v>53723.59</v>
      </c>
      <c r="I674" s="13">
        <f>ROUND(53723.59,2)</f>
        <v>53723.59</v>
      </c>
      <c r="J674" s="13"/>
      <c r="K674" s="13">
        <f>ROUND(53723.59,2)</f>
        <v>53723.59</v>
      </c>
      <c r="L674" s="13"/>
      <c r="M674" s="12">
        <f>ROUND(53723.59,2)</f>
        <v>53723.59</v>
      </c>
      <c r="N674" s="12">
        <f>ROUND(44463.38,2)</f>
        <v>44463.38</v>
      </c>
      <c r="O674" s="12">
        <f aca="true" t="shared" si="344" ref="O674:O675">ROUND(96276.41,2)</f>
        <v>96276.41</v>
      </c>
      <c r="P674" s="14">
        <v>64.18427333333334</v>
      </c>
      <c r="Q674" s="14">
        <v>35.81572666666666</v>
      </c>
    </row>
    <row r="675" spans="1:17" ht="12.75" customHeight="1">
      <c r="A675" s="15" t="s">
        <v>444</v>
      </c>
      <c r="B675" s="15"/>
      <c r="C675" s="15"/>
      <c r="D675" s="15"/>
      <c r="E675" s="16" t="s">
        <v>430</v>
      </c>
      <c r="F675" s="17">
        <f t="shared" si="343"/>
        <v>0</v>
      </c>
      <c r="G675" s="17">
        <f>ROUND(0,2)</f>
        <v>0</v>
      </c>
      <c r="H675" s="17">
        <f>ROUND(0,2)</f>
        <v>0</v>
      </c>
      <c r="I675" s="17">
        <f>ROUND(0,2)</f>
        <v>0</v>
      </c>
      <c r="J675" s="17"/>
      <c r="K675" s="17">
        <f>ROUND(0,2)</f>
        <v>0</v>
      </c>
      <c r="L675" s="17"/>
      <c r="M675" s="17">
        <f>ROUND(9260.21,2)</f>
        <v>9260.21</v>
      </c>
      <c r="N675" s="17">
        <f>ROUND(0,2)</f>
        <v>0</v>
      </c>
      <c r="O675" s="17">
        <f t="shared" si="344"/>
        <v>96276.41</v>
      </c>
      <c r="P675" s="18">
        <v>35.81572666666666</v>
      </c>
      <c r="Q675" s="18">
        <v>82.76323306018827</v>
      </c>
    </row>
    <row r="676" spans="1:17" ht="12.75" customHeight="1">
      <c r="A676" s="19" t="s">
        <v>183</v>
      </c>
      <c r="B676" s="19"/>
      <c r="C676" s="19"/>
      <c r="D676" s="19"/>
      <c r="E676" s="20">
        <f>SUM('DS1'!$A$168)</f>
        <v>150000</v>
      </c>
      <c r="F676" s="20">
        <v>0</v>
      </c>
      <c r="G676" s="20">
        <v>150000</v>
      </c>
      <c r="H676" s="20">
        <v>53723.59</v>
      </c>
      <c r="I676" s="21">
        <v>53723.59</v>
      </c>
      <c r="J676" s="21"/>
      <c r="K676" s="21">
        <v>53723.59</v>
      </c>
      <c r="L676" s="21"/>
      <c r="M676" s="20">
        <v>53723.59</v>
      </c>
      <c r="N676" s="20">
        <v>44463.38</v>
      </c>
      <c r="O676" s="20">
        <v>96276.41</v>
      </c>
      <c r="P676" s="22">
        <v>64.18427333333334</v>
      </c>
      <c r="Q676" s="22">
        <v>35.81572666666666</v>
      </c>
    </row>
    <row r="677" spans="1:17" ht="12.75" customHeight="1">
      <c r="A677" s="23"/>
      <c r="B677" s="24"/>
      <c r="C677" s="24"/>
      <c r="D677" s="24"/>
      <c r="E677" s="23"/>
      <c r="F677" s="20">
        <v>0</v>
      </c>
      <c r="G677" s="20">
        <v>0</v>
      </c>
      <c r="H677" s="20">
        <v>0</v>
      </c>
      <c r="I677" s="21">
        <v>0</v>
      </c>
      <c r="J677" s="21"/>
      <c r="K677" s="21">
        <v>0</v>
      </c>
      <c r="L677" s="21"/>
      <c r="M677" s="20">
        <v>9260.21</v>
      </c>
      <c r="N677" s="20">
        <v>0</v>
      </c>
      <c r="O677" s="20">
        <v>96276.41</v>
      </c>
      <c r="P677" s="22">
        <v>35.81572666666666</v>
      </c>
      <c r="Q677" s="22">
        <v>82.76323306018827</v>
      </c>
    </row>
    <row r="678" spans="1:17" ht="20.25" customHeight="1">
      <c r="A678" s="23"/>
      <c r="B678" s="24"/>
      <c r="C678" s="24"/>
      <c r="D678" s="24"/>
      <c r="E678" s="23"/>
      <c r="F678" s="23"/>
      <c r="G678" s="23"/>
      <c r="H678" s="23"/>
      <c r="I678" s="24"/>
      <c r="J678" s="24"/>
      <c r="K678" s="24"/>
      <c r="L678" s="24"/>
      <c r="M678" s="23"/>
      <c r="N678" s="23"/>
      <c r="O678" s="23"/>
      <c r="P678" s="23"/>
      <c r="Q678" s="23"/>
    </row>
    <row r="679" spans="1:17" ht="12.75" customHeight="1">
      <c r="A679" s="10"/>
      <c r="B679" s="11" t="s">
        <v>445</v>
      </c>
      <c r="C679" s="11"/>
      <c r="D679" s="11"/>
      <c r="E679" s="12">
        <f>ROUND(4000,2)</f>
        <v>4000</v>
      </c>
      <c r="F679" s="12">
        <f aca="true" t="shared" si="345" ref="F679:F680">ROUND(0,2)</f>
        <v>0</v>
      </c>
      <c r="G679" s="12">
        <f>ROUND(4000,2)</f>
        <v>4000</v>
      </c>
      <c r="H679" s="12">
        <f>ROUND(2822.61,2)</f>
        <v>2822.61</v>
      </c>
      <c r="I679" s="13">
        <f>ROUND(2822.61,2)</f>
        <v>2822.61</v>
      </c>
      <c r="J679" s="13"/>
      <c r="K679" s="13">
        <f>ROUND(2822.61,2)</f>
        <v>2822.61</v>
      </c>
      <c r="L679" s="13"/>
      <c r="M679" s="12">
        <f>ROUND(2822.61,2)</f>
        <v>2822.61</v>
      </c>
      <c r="N679" s="12">
        <f>ROUND(2822.61,2)</f>
        <v>2822.61</v>
      </c>
      <c r="O679" s="12">
        <f aca="true" t="shared" si="346" ref="O679:O680">ROUND(1177.39,2)</f>
        <v>1177.39</v>
      </c>
      <c r="P679" s="14">
        <v>29.434750000000005</v>
      </c>
      <c r="Q679" s="14">
        <v>70.56525</v>
      </c>
    </row>
    <row r="680" spans="1:17" ht="12.75" customHeight="1">
      <c r="A680" s="15" t="s">
        <v>446</v>
      </c>
      <c r="B680" s="15"/>
      <c r="C680" s="15"/>
      <c r="D680" s="15"/>
      <c r="E680" s="16" t="s">
        <v>430</v>
      </c>
      <c r="F680" s="17">
        <f t="shared" si="345"/>
        <v>0</v>
      </c>
      <c r="G680" s="17">
        <f>ROUND(0,2)</f>
        <v>0</v>
      </c>
      <c r="H680" s="17">
        <f>ROUND(0,2)</f>
        <v>0</v>
      </c>
      <c r="I680" s="17">
        <f>ROUND(0,2)</f>
        <v>0</v>
      </c>
      <c r="J680" s="17"/>
      <c r="K680" s="17">
        <f>ROUND(0,2)</f>
        <v>0</v>
      </c>
      <c r="L680" s="17"/>
      <c r="M680" s="17">
        <f>ROUND(0,2)</f>
        <v>0</v>
      </c>
      <c r="N680" s="17">
        <f>ROUND(0,2)</f>
        <v>0</v>
      </c>
      <c r="O680" s="17">
        <f t="shared" si="346"/>
        <v>1177.39</v>
      </c>
      <c r="P680" s="18">
        <v>70.56525</v>
      </c>
      <c r="Q680" s="18">
        <v>100</v>
      </c>
    </row>
    <row r="681" spans="1:17" ht="12.75" customHeight="1">
      <c r="A681" s="19" t="s">
        <v>95</v>
      </c>
      <c r="B681" s="19"/>
      <c r="C681" s="19"/>
      <c r="D681" s="19"/>
      <c r="E681" s="20">
        <f>SUM('DS1'!$A$169)</f>
        <v>4000</v>
      </c>
      <c r="F681" s="20">
        <v>0</v>
      </c>
      <c r="G681" s="20">
        <v>4000</v>
      </c>
      <c r="H681" s="20">
        <v>2822.61</v>
      </c>
      <c r="I681" s="21">
        <v>2822.61</v>
      </c>
      <c r="J681" s="21"/>
      <c r="K681" s="21">
        <v>2822.61</v>
      </c>
      <c r="L681" s="21"/>
      <c r="M681" s="20">
        <v>2822.61</v>
      </c>
      <c r="N681" s="20">
        <v>2822.61</v>
      </c>
      <c r="O681" s="20">
        <v>1177.39</v>
      </c>
      <c r="P681" s="22">
        <v>29.434750000000005</v>
      </c>
      <c r="Q681" s="22">
        <v>70.56525</v>
      </c>
    </row>
    <row r="682" spans="1:17" ht="12.75" customHeight="1">
      <c r="A682" s="23"/>
      <c r="B682" s="24"/>
      <c r="C682" s="24"/>
      <c r="D682" s="24"/>
      <c r="E682" s="23"/>
      <c r="F682" s="20">
        <v>0</v>
      </c>
      <c r="G682" s="20">
        <v>0</v>
      </c>
      <c r="H682" s="20">
        <v>0</v>
      </c>
      <c r="I682" s="21">
        <v>0</v>
      </c>
      <c r="J682" s="21"/>
      <c r="K682" s="21">
        <v>0</v>
      </c>
      <c r="L682" s="21"/>
      <c r="M682" s="20">
        <v>0</v>
      </c>
      <c r="N682" s="20">
        <v>0</v>
      </c>
      <c r="O682" s="20">
        <v>1177.3899999999999</v>
      </c>
      <c r="P682" s="22">
        <v>70.56525</v>
      </c>
      <c r="Q682" s="22">
        <v>100</v>
      </c>
    </row>
    <row r="683" spans="1:17" ht="20.25" customHeight="1">
      <c r="A683" s="23"/>
      <c r="B683" s="24"/>
      <c r="C683" s="24"/>
      <c r="D683" s="24"/>
      <c r="E683" s="23"/>
      <c r="F683" s="23"/>
      <c r="G683" s="23"/>
      <c r="H683" s="23"/>
      <c r="I683" s="24"/>
      <c r="J683" s="24"/>
      <c r="K683" s="24"/>
      <c r="L683" s="24"/>
      <c r="M683" s="23"/>
      <c r="N683" s="23"/>
      <c r="O683" s="23"/>
      <c r="P683" s="23"/>
      <c r="Q683" s="23"/>
    </row>
    <row r="684" spans="1:17" ht="12.75" customHeight="1">
      <c r="A684" s="10"/>
      <c r="B684" s="11" t="s">
        <v>447</v>
      </c>
      <c r="C684" s="11"/>
      <c r="D684" s="11"/>
      <c r="E684" s="12">
        <f>ROUND(1000,2)</f>
        <v>1000</v>
      </c>
      <c r="F684" s="12">
        <f aca="true" t="shared" si="347" ref="F684:F685">ROUND(0,2)</f>
        <v>0</v>
      </c>
      <c r="G684" s="12">
        <f>ROUND(1000,2)</f>
        <v>1000</v>
      </c>
      <c r="H684" s="12">
        <f>ROUND(2577.76,2)</f>
        <v>2577.76</v>
      </c>
      <c r="I684" s="13">
        <f>ROUND(2577.76,2)</f>
        <v>2577.76</v>
      </c>
      <c r="J684" s="13"/>
      <c r="K684" s="13">
        <f>ROUND(2577.76,2)</f>
        <v>2577.76</v>
      </c>
      <c r="L684" s="13"/>
      <c r="M684" s="12">
        <f>ROUND(2577.76,2)</f>
        <v>2577.76</v>
      </c>
      <c r="N684" s="12">
        <f>ROUND(2577.76,2)</f>
        <v>2577.76</v>
      </c>
      <c r="O684" s="12">
        <f>ROUND(-1577.76,2)</f>
        <v>-1577.76</v>
      </c>
      <c r="P684" s="14">
        <v>-157.776</v>
      </c>
      <c r="Q684" s="14">
        <v>257.776</v>
      </c>
    </row>
    <row r="685" spans="1:17" ht="12.75" customHeight="1">
      <c r="A685" s="15" t="s">
        <v>448</v>
      </c>
      <c r="B685" s="15"/>
      <c r="C685" s="15"/>
      <c r="D685" s="15"/>
      <c r="E685" s="16" t="s">
        <v>430</v>
      </c>
      <c r="F685" s="17">
        <f t="shared" si="347"/>
        <v>0</v>
      </c>
      <c r="G685" s="17">
        <f>ROUND(0,2)</f>
        <v>0</v>
      </c>
      <c r="H685" s="17">
        <f>ROUND(0,2)</f>
        <v>0</v>
      </c>
      <c r="I685" s="17">
        <f>ROUND(0,2)</f>
        <v>0</v>
      </c>
      <c r="J685" s="17"/>
      <c r="K685" s="17">
        <f>ROUND(0,2)</f>
        <v>0</v>
      </c>
      <c r="L685" s="17"/>
      <c r="M685" s="17">
        <f>ROUND(0,2)</f>
        <v>0</v>
      </c>
      <c r="N685" s="17">
        <f>ROUND(0,2)</f>
        <v>0</v>
      </c>
      <c r="O685" s="17">
        <f>ROUND(-1577.76,2)</f>
        <v>-1577.76</v>
      </c>
      <c r="P685" s="18">
        <v>257.776</v>
      </c>
      <c r="Q685" s="18">
        <v>100</v>
      </c>
    </row>
    <row r="686" spans="1:17" ht="12.75" customHeight="1">
      <c r="A686" s="19" t="s">
        <v>124</v>
      </c>
      <c r="B686" s="19"/>
      <c r="C686" s="19"/>
      <c r="D686" s="19"/>
      <c r="E686" s="20">
        <f>SUM('DS1'!$A$170)</f>
        <v>1000</v>
      </c>
      <c r="F686" s="20">
        <v>0</v>
      </c>
      <c r="G686" s="20">
        <v>1000</v>
      </c>
      <c r="H686" s="20">
        <v>2577.76</v>
      </c>
      <c r="I686" s="21">
        <v>2577.76</v>
      </c>
      <c r="J686" s="21"/>
      <c r="K686" s="21">
        <v>2577.76</v>
      </c>
      <c r="L686" s="21"/>
      <c r="M686" s="20">
        <v>2577.76</v>
      </c>
      <c r="N686" s="20">
        <v>2577.76</v>
      </c>
      <c r="O686" s="20">
        <v>-1577.76</v>
      </c>
      <c r="P686" s="22">
        <v>-157.776</v>
      </c>
      <c r="Q686" s="22">
        <v>257.776</v>
      </c>
    </row>
    <row r="687" spans="1:17" ht="12.75" customHeight="1">
      <c r="A687" s="23"/>
      <c r="B687" s="24"/>
      <c r="C687" s="24"/>
      <c r="D687" s="24"/>
      <c r="E687" s="23"/>
      <c r="F687" s="20">
        <v>0</v>
      </c>
      <c r="G687" s="20">
        <v>0</v>
      </c>
      <c r="H687" s="20">
        <v>0</v>
      </c>
      <c r="I687" s="21">
        <v>0</v>
      </c>
      <c r="J687" s="21"/>
      <c r="K687" s="21">
        <v>0</v>
      </c>
      <c r="L687" s="21"/>
      <c r="M687" s="20">
        <v>0</v>
      </c>
      <c r="N687" s="20">
        <v>0</v>
      </c>
      <c r="O687" s="20">
        <v>-1577.7600000000002</v>
      </c>
      <c r="P687" s="22">
        <v>257.776</v>
      </c>
      <c r="Q687" s="22">
        <v>100</v>
      </c>
    </row>
    <row r="688" spans="1:17" ht="20.25" customHeight="1">
      <c r="A688" s="23"/>
      <c r="B688" s="24"/>
      <c r="C688" s="24"/>
      <c r="D688" s="24"/>
      <c r="E688" s="23"/>
      <c r="F688" s="23"/>
      <c r="G688" s="23"/>
      <c r="H688" s="23"/>
      <c r="I688" s="24"/>
      <c r="J688" s="24"/>
      <c r="K688" s="24"/>
      <c r="L688" s="24"/>
      <c r="M688" s="23"/>
      <c r="N688" s="23"/>
      <c r="O688" s="23"/>
      <c r="P688" s="23"/>
      <c r="Q688" s="23"/>
    </row>
    <row r="689" spans="1:17" ht="12.75" customHeight="1">
      <c r="A689" s="10"/>
      <c r="B689" s="11" t="s">
        <v>449</v>
      </c>
      <c r="C689" s="11"/>
      <c r="D689" s="11"/>
      <c r="E689" s="12">
        <f>ROUND(310000,2)</f>
        <v>310000</v>
      </c>
      <c r="F689" s="12">
        <f aca="true" t="shared" si="348" ref="F689:F690">ROUND(0,2)</f>
        <v>0</v>
      </c>
      <c r="G689" s="12">
        <f>ROUND(310000,2)</f>
        <v>310000</v>
      </c>
      <c r="H689" s="12">
        <f>ROUND(163182.02,2)</f>
        <v>163182.02</v>
      </c>
      <c r="I689" s="13">
        <f>ROUND(163182.02,2)</f>
        <v>163182.02</v>
      </c>
      <c r="J689" s="13"/>
      <c r="K689" s="13">
        <f>ROUND(143856.4,2)</f>
        <v>143856.4</v>
      </c>
      <c r="L689" s="13"/>
      <c r="M689" s="12">
        <f>ROUND(143856.4,2)</f>
        <v>143856.4</v>
      </c>
      <c r="N689" s="12">
        <f>ROUND(130133.91,2)</f>
        <v>130133.91</v>
      </c>
      <c r="O689" s="12">
        <f>ROUND(142620.91,2)</f>
        <v>142620.91</v>
      </c>
      <c r="P689" s="14">
        <v>46.006745161290326</v>
      </c>
      <c r="Q689" s="14">
        <v>46.40529032258065</v>
      </c>
    </row>
    <row r="690" spans="1:17" ht="12.75" customHeight="1">
      <c r="A690" s="15" t="s">
        <v>450</v>
      </c>
      <c r="B690" s="15"/>
      <c r="C690" s="15"/>
      <c r="D690" s="15"/>
      <c r="E690" s="16" t="s">
        <v>430</v>
      </c>
      <c r="F690" s="17">
        <f t="shared" si="348"/>
        <v>0</v>
      </c>
      <c r="G690" s="17">
        <f>ROUND(4197.07,2)</f>
        <v>4197.07</v>
      </c>
      <c r="H690" s="17">
        <f>ROUND(0,2)</f>
        <v>0</v>
      </c>
      <c r="I690" s="17">
        <f>ROUND(19325.62,2)</f>
        <v>19325.62</v>
      </c>
      <c r="J690" s="17"/>
      <c r="K690" s="17">
        <f>ROUND(0,2)</f>
        <v>0</v>
      </c>
      <c r="L690" s="17"/>
      <c r="M690" s="17">
        <f>ROUND(13722.49,2)</f>
        <v>13722.49</v>
      </c>
      <c r="N690" s="17">
        <f>ROUND(0,2)</f>
        <v>0</v>
      </c>
      <c r="O690" s="17">
        <f>ROUND(166143.6,2)</f>
        <v>166143.6</v>
      </c>
      <c r="P690" s="18">
        <v>52.639361290322576</v>
      </c>
      <c r="Q690" s="18">
        <v>90.46098053336522</v>
      </c>
    </row>
    <row r="691" spans="1:17" ht="12.75" customHeight="1">
      <c r="A691" s="19" t="s">
        <v>37</v>
      </c>
      <c r="B691" s="19"/>
      <c r="C691" s="19"/>
      <c r="D691" s="19"/>
      <c r="E691" s="20">
        <f>SUM('DS1'!$A$171)</f>
        <v>310000</v>
      </c>
      <c r="F691" s="20">
        <v>0</v>
      </c>
      <c r="G691" s="20">
        <v>310000</v>
      </c>
      <c r="H691" s="20">
        <v>163182.02</v>
      </c>
      <c r="I691" s="21">
        <v>163182.02</v>
      </c>
      <c r="J691" s="21"/>
      <c r="K691" s="21">
        <v>143856.4</v>
      </c>
      <c r="L691" s="21"/>
      <c r="M691" s="20">
        <v>143856.4</v>
      </c>
      <c r="N691" s="20">
        <v>130133.91</v>
      </c>
      <c r="O691" s="20">
        <v>142620.91</v>
      </c>
      <c r="P691" s="22">
        <v>46.006745161290326</v>
      </c>
      <c r="Q691" s="22">
        <v>46.40529032258065</v>
      </c>
    </row>
    <row r="692" spans="1:17" ht="12.75" customHeight="1">
      <c r="A692" s="23"/>
      <c r="B692" s="24"/>
      <c r="C692" s="24"/>
      <c r="D692" s="24"/>
      <c r="E692" s="23"/>
      <c r="F692" s="20">
        <v>0</v>
      </c>
      <c r="G692" s="20">
        <v>4197.07</v>
      </c>
      <c r="H692" s="20">
        <v>0</v>
      </c>
      <c r="I692" s="21">
        <v>19325.619999999995</v>
      </c>
      <c r="J692" s="21"/>
      <c r="K692" s="21">
        <v>0</v>
      </c>
      <c r="L692" s="21"/>
      <c r="M692" s="20">
        <v>13722.48999999999</v>
      </c>
      <c r="N692" s="20">
        <v>0</v>
      </c>
      <c r="O692" s="20">
        <v>166143.6</v>
      </c>
      <c r="P692" s="22">
        <v>52.639361290322576</v>
      </c>
      <c r="Q692" s="22">
        <v>90.46098053336522</v>
      </c>
    </row>
    <row r="693" spans="1:17" ht="20.25" customHeight="1">
      <c r="A693" s="23"/>
      <c r="B693" s="24"/>
      <c r="C693" s="24"/>
      <c r="D693" s="24"/>
      <c r="E693" s="23"/>
      <c r="F693" s="23"/>
      <c r="G693" s="23"/>
      <c r="H693" s="23"/>
      <c r="I693" s="24"/>
      <c r="J693" s="24"/>
      <c r="K693" s="24"/>
      <c r="L693" s="24"/>
      <c r="M693" s="23"/>
      <c r="N693" s="23"/>
      <c r="O693" s="23"/>
      <c r="P693" s="23"/>
      <c r="Q693" s="23"/>
    </row>
    <row r="694" spans="1:17" ht="12.75" customHeight="1">
      <c r="A694" s="10"/>
      <c r="B694" s="11" t="s">
        <v>451</v>
      </c>
      <c r="C694" s="11"/>
      <c r="D694" s="11"/>
      <c r="E694" s="12">
        <f>ROUND(20000,2)</f>
        <v>20000</v>
      </c>
      <c r="F694" s="12">
        <f aca="true" t="shared" si="349" ref="F694:F695">ROUND(0,2)</f>
        <v>0</v>
      </c>
      <c r="G694" s="12">
        <f>ROUND(20000,2)</f>
        <v>20000</v>
      </c>
      <c r="H694" s="12">
        <f aca="true" t="shared" si="350" ref="H694:H695">ROUND(0,2)</f>
        <v>0</v>
      </c>
      <c r="I694" s="13">
        <f aca="true" t="shared" si="351" ref="I694:I695">ROUND(0,2)</f>
        <v>0</v>
      </c>
      <c r="J694" s="13"/>
      <c r="K694" s="13">
        <f aca="true" t="shared" si="352" ref="K694:K695">ROUND(0,2)</f>
        <v>0</v>
      </c>
      <c r="L694" s="13"/>
      <c r="M694" s="12">
        <f aca="true" t="shared" si="353" ref="M694:M695">ROUND(0,2)</f>
        <v>0</v>
      </c>
      <c r="N694" s="12">
        <f aca="true" t="shared" si="354" ref="N694:N695">ROUND(0,2)</f>
        <v>0</v>
      </c>
      <c r="O694" s="12">
        <f aca="true" t="shared" si="355" ref="O694:O695">ROUND(20000,2)</f>
        <v>20000</v>
      </c>
      <c r="P694" s="14">
        <v>100</v>
      </c>
      <c r="Q694" s="14">
        <v>0</v>
      </c>
    </row>
    <row r="695" spans="1:17" ht="12.75" customHeight="1">
      <c r="A695" s="15" t="s">
        <v>452</v>
      </c>
      <c r="B695" s="15"/>
      <c r="C695" s="15"/>
      <c r="D695" s="15"/>
      <c r="E695" s="16" t="s">
        <v>453</v>
      </c>
      <c r="F695" s="17">
        <f t="shared" si="349"/>
        <v>0</v>
      </c>
      <c r="G695" s="17">
        <f>ROUND(0,2)</f>
        <v>0</v>
      </c>
      <c r="H695" s="17">
        <f t="shared" si="350"/>
        <v>0</v>
      </c>
      <c r="I695" s="17">
        <f t="shared" si="351"/>
        <v>0</v>
      </c>
      <c r="J695" s="17"/>
      <c r="K695" s="17">
        <f t="shared" si="352"/>
        <v>0</v>
      </c>
      <c r="L695" s="17"/>
      <c r="M695" s="17">
        <f t="shared" si="353"/>
        <v>0</v>
      </c>
      <c r="N695" s="17">
        <f t="shared" si="354"/>
        <v>0</v>
      </c>
      <c r="O695" s="17">
        <f t="shared" si="355"/>
        <v>20000</v>
      </c>
      <c r="P695" s="18">
        <v>0</v>
      </c>
      <c r="Q695" s="18">
        <v>0</v>
      </c>
    </row>
    <row r="696" spans="1:17" ht="12.75" customHeight="1">
      <c r="A696" s="19" t="s">
        <v>454</v>
      </c>
      <c r="B696" s="19"/>
      <c r="C696" s="19"/>
      <c r="D696" s="19"/>
      <c r="E696" s="20">
        <f>SUM('DS1'!$A$172)</f>
        <v>20000</v>
      </c>
      <c r="F696" s="20">
        <v>0</v>
      </c>
      <c r="G696" s="20">
        <v>20000</v>
      </c>
      <c r="H696" s="20">
        <v>0</v>
      </c>
      <c r="I696" s="21">
        <v>0</v>
      </c>
      <c r="J696" s="21"/>
      <c r="K696" s="21">
        <v>0</v>
      </c>
      <c r="L696" s="21"/>
      <c r="M696" s="20">
        <v>0</v>
      </c>
      <c r="N696" s="20">
        <v>0</v>
      </c>
      <c r="O696" s="20">
        <v>20000</v>
      </c>
      <c r="P696" s="22">
        <v>100</v>
      </c>
      <c r="Q696" s="22">
        <v>0</v>
      </c>
    </row>
    <row r="697" spans="1:17" ht="12.75" customHeight="1">
      <c r="A697" s="23"/>
      <c r="B697" s="24"/>
      <c r="C697" s="24"/>
      <c r="D697" s="24"/>
      <c r="E697" s="23"/>
      <c r="F697" s="20">
        <v>0</v>
      </c>
      <c r="G697" s="20">
        <v>0</v>
      </c>
      <c r="H697" s="20">
        <v>0</v>
      </c>
      <c r="I697" s="21">
        <v>0</v>
      </c>
      <c r="J697" s="21"/>
      <c r="K697" s="21">
        <v>0</v>
      </c>
      <c r="L697" s="21"/>
      <c r="M697" s="20">
        <v>0</v>
      </c>
      <c r="N697" s="20">
        <v>0</v>
      </c>
      <c r="O697" s="20">
        <v>20000</v>
      </c>
      <c r="P697" s="22">
        <v>0</v>
      </c>
      <c r="Q697" s="22">
        <v>0</v>
      </c>
    </row>
    <row r="698" spans="1:17" ht="20.25" customHeight="1">
      <c r="A698" s="23"/>
      <c r="B698" s="24"/>
      <c r="C698" s="24"/>
      <c r="D698" s="24"/>
      <c r="E698" s="23"/>
      <c r="F698" s="23"/>
      <c r="G698" s="23"/>
      <c r="H698" s="23"/>
      <c r="I698" s="24"/>
      <c r="J698" s="24"/>
      <c r="K698" s="24"/>
      <c r="L698" s="24"/>
      <c r="M698" s="23"/>
      <c r="N698" s="23"/>
      <c r="O698" s="23"/>
      <c r="P698" s="23"/>
      <c r="Q698" s="23"/>
    </row>
    <row r="699" spans="1:17" ht="12.75" customHeight="1">
      <c r="A699" s="10"/>
      <c r="B699" s="11" t="s">
        <v>455</v>
      </c>
      <c r="C699" s="11"/>
      <c r="D699" s="11"/>
      <c r="E699" s="12">
        <f>ROUND(885000,2)</f>
        <v>885000</v>
      </c>
      <c r="F699" s="12">
        <f aca="true" t="shared" si="356" ref="F699:F702">ROUND(0,2)</f>
        <v>0</v>
      </c>
      <c r="G699" s="12">
        <f>ROUND(885000,2)</f>
        <v>885000</v>
      </c>
      <c r="H699" s="12">
        <f>ROUND(643052.27,2)</f>
        <v>643052.27</v>
      </c>
      <c r="I699" s="13">
        <f>ROUND(643052.27,2)</f>
        <v>643052.27</v>
      </c>
      <c r="J699" s="13"/>
      <c r="K699" s="13">
        <f>ROUND(643052.27,2)</f>
        <v>643052.27</v>
      </c>
      <c r="L699" s="13"/>
      <c r="M699" s="12">
        <f>ROUND(643052.27,2)</f>
        <v>643052.27</v>
      </c>
      <c r="N699" s="12">
        <f>ROUND(643052.27,2)</f>
        <v>643052.27</v>
      </c>
      <c r="O699" s="12">
        <f aca="true" t="shared" si="357" ref="O699:O700">ROUND(241947.73,2)</f>
        <v>241947.73</v>
      </c>
      <c r="P699" s="14">
        <v>27.338726553672316</v>
      </c>
      <c r="Q699" s="14">
        <v>72.66127344632768</v>
      </c>
    </row>
    <row r="700" spans="1:17" ht="12.75" customHeight="1">
      <c r="A700" s="15" t="s">
        <v>456</v>
      </c>
      <c r="B700" s="15"/>
      <c r="C700" s="15"/>
      <c r="D700" s="15"/>
      <c r="E700" s="16" t="s">
        <v>457</v>
      </c>
      <c r="F700" s="17">
        <f t="shared" si="356"/>
        <v>0</v>
      </c>
      <c r="G700" s="17">
        <f>ROUND(0,2)</f>
        <v>0</v>
      </c>
      <c r="H700" s="17">
        <f aca="true" t="shared" si="358" ref="H700:H702">ROUND(0,2)</f>
        <v>0</v>
      </c>
      <c r="I700" s="17">
        <f aca="true" t="shared" si="359" ref="I700:I702">ROUND(0,2)</f>
        <v>0</v>
      </c>
      <c r="J700" s="17"/>
      <c r="K700" s="17">
        <f aca="true" t="shared" si="360" ref="K700:K702">ROUND(0,2)</f>
        <v>0</v>
      </c>
      <c r="L700" s="17"/>
      <c r="M700" s="17">
        <f aca="true" t="shared" si="361" ref="M700:M702">ROUND(0,2)</f>
        <v>0</v>
      </c>
      <c r="N700" s="17">
        <f aca="true" t="shared" si="362" ref="N700:N702">ROUND(0,2)</f>
        <v>0</v>
      </c>
      <c r="O700" s="17">
        <f t="shared" si="357"/>
        <v>241947.73</v>
      </c>
      <c r="P700" s="18">
        <v>72.66127344632768</v>
      </c>
      <c r="Q700" s="18">
        <v>100</v>
      </c>
    </row>
    <row r="701" spans="1:17" ht="12.75" customHeight="1">
      <c r="A701" s="10"/>
      <c r="B701" s="11" t="s">
        <v>458</v>
      </c>
      <c r="C701" s="11"/>
      <c r="D701" s="11"/>
      <c r="E701" s="12">
        <f>ROUND(45000,2)</f>
        <v>45000</v>
      </c>
      <c r="F701" s="12">
        <f t="shared" si="356"/>
        <v>0</v>
      </c>
      <c r="G701" s="12">
        <f>ROUND(45000,2)</f>
        <v>45000</v>
      </c>
      <c r="H701" s="12">
        <f t="shared" si="358"/>
        <v>0</v>
      </c>
      <c r="I701" s="13">
        <f t="shared" si="359"/>
        <v>0</v>
      </c>
      <c r="J701" s="13"/>
      <c r="K701" s="13">
        <f t="shared" si="360"/>
        <v>0</v>
      </c>
      <c r="L701" s="13"/>
      <c r="M701" s="12">
        <f t="shared" si="361"/>
        <v>0</v>
      </c>
      <c r="N701" s="12">
        <f t="shared" si="362"/>
        <v>0</v>
      </c>
      <c r="O701" s="12">
        <f aca="true" t="shared" si="363" ref="O701:O702">ROUND(45000,2)</f>
        <v>45000</v>
      </c>
      <c r="P701" s="14">
        <v>100</v>
      </c>
      <c r="Q701" s="14">
        <v>0</v>
      </c>
    </row>
    <row r="702" spans="1:17" ht="12.75" customHeight="1">
      <c r="A702" s="15" t="s">
        <v>456</v>
      </c>
      <c r="B702" s="15"/>
      <c r="C702" s="15"/>
      <c r="D702" s="15"/>
      <c r="E702" s="16" t="s">
        <v>457</v>
      </c>
      <c r="F702" s="17">
        <f t="shared" si="356"/>
        <v>0</v>
      </c>
      <c r="G702" s="17">
        <f>ROUND(0,2)</f>
        <v>0</v>
      </c>
      <c r="H702" s="17">
        <f t="shared" si="358"/>
        <v>0</v>
      </c>
      <c r="I702" s="17">
        <f t="shared" si="359"/>
        <v>0</v>
      </c>
      <c r="J702" s="17"/>
      <c r="K702" s="17">
        <f t="shared" si="360"/>
        <v>0</v>
      </c>
      <c r="L702" s="17"/>
      <c r="M702" s="17">
        <f t="shared" si="361"/>
        <v>0</v>
      </c>
      <c r="N702" s="17">
        <f t="shared" si="362"/>
        <v>0</v>
      </c>
      <c r="O702" s="17">
        <f t="shared" si="363"/>
        <v>45000</v>
      </c>
      <c r="P702" s="18">
        <v>0</v>
      </c>
      <c r="Q702" s="18">
        <v>0</v>
      </c>
    </row>
    <row r="703" spans="1:17" ht="12.75" customHeight="1">
      <c r="A703" s="19" t="s">
        <v>459</v>
      </c>
      <c r="B703" s="19"/>
      <c r="C703" s="19"/>
      <c r="D703" s="19"/>
      <c r="E703" s="20">
        <f>SUM('DS1'!$A$173:$A$174)</f>
        <v>930000</v>
      </c>
      <c r="F703" s="20">
        <v>0</v>
      </c>
      <c r="G703" s="20">
        <v>930000</v>
      </c>
      <c r="H703" s="20">
        <v>643052.27</v>
      </c>
      <c r="I703" s="21">
        <v>643052.27</v>
      </c>
      <c r="J703" s="21"/>
      <c r="K703" s="21">
        <v>643052.27</v>
      </c>
      <c r="L703" s="21"/>
      <c r="M703" s="20">
        <v>643052.27</v>
      </c>
      <c r="N703" s="20">
        <v>643052.27</v>
      </c>
      <c r="O703" s="20">
        <v>286947.73</v>
      </c>
      <c r="P703" s="22">
        <v>30.854594623655913</v>
      </c>
      <c r="Q703" s="22">
        <v>69.14540537634409</v>
      </c>
    </row>
    <row r="704" spans="1:17" ht="12.75" customHeight="1">
      <c r="A704" s="23"/>
      <c r="B704" s="24"/>
      <c r="C704" s="24"/>
      <c r="D704" s="24"/>
      <c r="E704" s="23"/>
      <c r="F704" s="20">
        <v>0</v>
      </c>
      <c r="G704" s="20">
        <v>0</v>
      </c>
      <c r="H704" s="20">
        <v>0</v>
      </c>
      <c r="I704" s="21">
        <v>0</v>
      </c>
      <c r="J704" s="21"/>
      <c r="K704" s="21">
        <v>0</v>
      </c>
      <c r="L704" s="21"/>
      <c r="M704" s="20">
        <v>0</v>
      </c>
      <c r="N704" s="20">
        <v>0</v>
      </c>
      <c r="O704" s="20">
        <v>286947.73</v>
      </c>
      <c r="P704" s="22">
        <v>69.14540537634409</v>
      </c>
      <c r="Q704" s="22">
        <v>100</v>
      </c>
    </row>
    <row r="705" spans="1:17" ht="20.25" customHeight="1">
      <c r="A705" s="23"/>
      <c r="B705" s="24"/>
      <c r="C705" s="24"/>
      <c r="D705" s="24"/>
      <c r="E705" s="23"/>
      <c r="F705" s="23"/>
      <c r="G705" s="23"/>
      <c r="H705" s="23"/>
      <c r="I705" s="24"/>
      <c r="J705" s="24"/>
      <c r="K705" s="24"/>
      <c r="L705" s="24"/>
      <c r="M705" s="23"/>
      <c r="N705" s="23"/>
      <c r="O705" s="23"/>
      <c r="P705" s="23"/>
      <c r="Q705" s="23"/>
    </row>
    <row r="706" spans="1:17" ht="12.75" customHeight="1">
      <c r="A706" s="10"/>
      <c r="B706" s="11" t="s">
        <v>460</v>
      </c>
      <c r="C706" s="11"/>
      <c r="D706" s="11"/>
      <c r="E706" s="12">
        <f>ROUND(415000,2)</f>
        <v>415000</v>
      </c>
      <c r="F706" s="12">
        <f aca="true" t="shared" si="364" ref="F706:F707">ROUND(0,2)</f>
        <v>0</v>
      </c>
      <c r="G706" s="12">
        <f>ROUND(415000,2)</f>
        <v>415000</v>
      </c>
      <c r="H706" s="12">
        <f>ROUND(320684.85,2)</f>
        <v>320684.85</v>
      </c>
      <c r="I706" s="13">
        <f>ROUND(320684.85,2)</f>
        <v>320684.85</v>
      </c>
      <c r="J706" s="13"/>
      <c r="K706" s="13">
        <f>ROUND(320684.85,2)</f>
        <v>320684.85</v>
      </c>
      <c r="L706" s="13"/>
      <c r="M706" s="12">
        <f>ROUND(320684.85,2)</f>
        <v>320684.85</v>
      </c>
      <c r="N706" s="12">
        <f>ROUND(320684.85,2)</f>
        <v>320684.85</v>
      </c>
      <c r="O706" s="12">
        <f>ROUND(94315.15,2)</f>
        <v>94315.15</v>
      </c>
      <c r="P706" s="14">
        <v>22.726542168674698</v>
      </c>
      <c r="Q706" s="14">
        <v>77.2734578313253</v>
      </c>
    </row>
    <row r="707" spans="1:17" ht="12.75" customHeight="1">
      <c r="A707" s="15" t="s">
        <v>456</v>
      </c>
      <c r="B707" s="15"/>
      <c r="C707" s="15"/>
      <c r="D707" s="15"/>
      <c r="E707" s="16" t="s">
        <v>457</v>
      </c>
      <c r="F707" s="17">
        <f t="shared" si="364"/>
        <v>0</v>
      </c>
      <c r="G707" s="17">
        <f>ROUND(0,2)</f>
        <v>0</v>
      </c>
      <c r="H707" s="17">
        <f>ROUND(0,2)</f>
        <v>0</v>
      </c>
      <c r="I707" s="17">
        <f>ROUND(0,2)</f>
        <v>0</v>
      </c>
      <c r="J707" s="17"/>
      <c r="K707" s="17">
        <f>ROUND(0,2)</f>
        <v>0</v>
      </c>
      <c r="L707" s="17"/>
      <c r="M707" s="17">
        <f>ROUND(0,2)</f>
        <v>0</v>
      </c>
      <c r="N707" s="17">
        <f>ROUND(0,2)</f>
        <v>0</v>
      </c>
      <c r="O707" s="17">
        <f>ROUND(94315.15,2)</f>
        <v>94315.15</v>
      </c>
      <c r="P707" s="18">
        <v>77.2734578313253</v>
      </c>
      <c r="Q707" s="18">
        <v>100</v>
      </c>
    </row>
    <row r="708" spans="1:17" ht="12.75" customHeight="1">
      <c r="A708" s="19" t="s">
        <v>461</v>
      </c>
      <c r="B708" s="19"/>
      <c r="C708" s="19"/>
      <c r="D708" s="19"/>
      <c r="E708" s="20">
        <f>SUM('DS1'!$A$175)</f>
        <v>415000</v>
      </c>
      <c r="F708" s="20">
        <v>0</v>
      </c>
      <c r="G708" s="20">
        <v>415000</v>
      </c>
      <c r="H708" s="20">
        <v>320684.85</v>
      </c>
      <c r="I708" s="21">
        <v>320684.85</v>
      </c>
      <c r="J708" s="21"/>
      <c r="K708" s="21">
        <v>320684.85</v>
      </c>
      <c r="L708" s="21"/>
      <c r="M708" s="20">
        <v>320684.85</v>
      </c>
      <c r="N708" s="20">
        <v>320684.85</v>
      </c>
      <c r="O708" s="20">
        <v>94315.15</v>
      </c>
      <c r="P708" s="22">
        <v>22.726542168674698</v>
      </c>
      <c r="Q708" s="22">
        <v>77.2734578313253</v>
      </c>
    </row>
    <row r="709" spans="1:17" ht="12.75" customHeight="1">
      <c r="A709" s="23"/>
      <c r="B709" s="24"/>
      <c r="C709" s="24"/>
      <c r="D709" s="24"/>
      <c r="E709" s="23"/>
      <c r="F709" s="20">
        <v>0</v>
      </c>
      <c r="G709" s="20">
        <v>0</v>
      </c>
      <c r="H709" s="20">
        <v>0</v>
      </c>
      <c r="I709" s="21">
        <v>0</v>
      </c>
      <c r="J709" s="21"/>
      <c r="K709" s="21">
        <v>0</v>
      </c>
      <c r="L709" s="21"/>
      <c r="M709" s="20">
        <v>0</v>
      </c>
      <c r="N709" s="20">
        <v>0</v>
      </c>
      <c r="O709" s="20">
        <v>94315.15000000002</v>
      </c>
      <c r="P709" s="22">
        <v>77.2734578313253</v>
      </c>
      <c r="Q709" s="22">
        <v>100</v>
      </c>
    </row>
    <row r="710" spans="1:17" ht="20.25" customHeight="1">
      <c r="A710" s="23"/>
      <c r="B710" s="24"/>
      <c r="C710" s="24"/>
      <c r="D710" s="24"/>
      <c r="E710" s="23"/>
      <c r="F710" s="23"/>
      <c r="G710" s="23"/>
      <c r="H710" s="23"/>
      <c r="I710" s="24"/>
      <c r="J710" s="24"/>
      <c r="K710" s="24"/>
      <c r="L710" s="24"/>
      <c r="M710" s="23"/>
      <c r="N710" s="23"/>
      <c r="O710" s="23"/>
      <c r="P710" s="23"/>
      <c r="Q710" s="23"/>
    </row>
    <row r="711" spans="1:17" ht="12.75" customHeight="1">
      <c r="A711" s="10"/>
      <c r="B711" s="11" t="s">
        <v>462</v>
      </c>
      <c r="C711" s="11"/>
      <c r="D711" s="11"/>
      <c r="E711" s="12">
        <f>ROUND(0,2)</f>
        <v>0</v>
      </c>
      <c r="F711" s="12">
        <f>ROUND(8631.17,2)</f>
        <v>8631.17</v>
      </c>
      <c r="G711" s="12">
        <f>ROUND(8631.17,2)</f>
        <v>8631.17</v>
      </c>
      <c r="H711" s="12">
        <f>ROUND(8631.17,2)</f>
        <v>8631.17</v>
      </c>
      <c r="I711" s="13">
        <f>ROUND(8631.17,2)</f>
        <v>8631.17</v>
      </c>
      <c r="J711" s="13"/>
      <c r="K711" s="13">
        <f>ROUND(8631.17,2)</f>
        <v>8631.17</v>
      </c>
      <c r="L711" s="13"/>
      <c r="M711" s="12">
        <f>ROUND(8631.17,2)</f>
        <v>8631.17</v>
      </c>
      <c r="N711" s="12">
        <f>ROUND(8631.17,2)</f>
        <v>8631.17</v>
      </c>
      <c r="O711" s="12">
        <f aca="true" t="shared" si="365" ref="O711:O713">ROUND(0,2)</f>
        <v>0</v>
      </c>
      <c r="P711" s="14">
        <v>0</v>
      </c>
      <c r="Q711" s="14">
        <v>100</v>
      </c>
    </row>
    <row r="712" spans="1:17" ht="12.75" customHeight="1">
      <c r="A712" s="15" t="s">
        <v>463</v>
      </c>
      <c r="B712" s="15"/>
      <c r="C712" s="15"/>
      <c r="D712" s="15"/>
      <c r="E712" s="16" t="s">
        <v>462</v>
      </c>
      <c r="F712" s="17">
        <f>ROUND(0,2)</f>
        <v>0</v>
      </c>
      <c r="G712" s="17">
        <f>ROUND(0,2)</f>
        <v>0</v>
      </c>
      <c r="H712" s="17">
        <f>ROUND(0,2)</f>
        <v>0</v>
      </c>
      <c r="I712" s="17">
        <f>ROUND(0,2)</f>
        <v>0</v>
      </c>
      <c r="J712" s="17"/>
      <c r="K712" s="17">
        <f>ROUND(0,2)</f>
        <v>0</v>
      </c>
      <c r="L712" s="17"/>
      <c r="M712" s="17">
        <f>ROUND(0,2)</f>
        <v>0</v>
      </c>
      <c r="N712" s="17">
        <f>ROUND(0,2)</f>
        <v>0</v>
      </c>
      <c r="O712" s="17">
        <f t="shared" si="365"/>
        <v>0</v>
      </c>
      <c r="P712" s="18">
        <v>100</v>
      </c>
      <c r="Q712" s="18">
        <v>100</v>
      </c>
    </row>
    <row r="713" spans="1:17" ht="12.75" customHeight="1">
      <c r="A713" s="10" t="s">
        <v>83</v>
      </c>
      <c r="B713" s="11" t="s">
        <v>464</v>
      </c>
      <c r="C713" s="11"/>
      <c r="D713" s="11"/>
      <c r="E713" s="12">
        <f>ROUND(0,2)</f>
        <v>0</v>
      </c>
      <c r="F713" s="12">
        <f aca="true" t="shared" si="366" ref="F713:F714">ROUND(10000,2)</f>
        <v>10000</v>
      </c>
      <c r="G713" s="12">
        <f>ROUND(10000,2)</f>
        <v>10000</v>
      </c>
      <c r="H713" s="12">
        <f>ROUND(10000,2)</f>
        <v>10000</v>
      </c>
      <c r="I713" s="13">
        <f>ROUND(10000,2)</f>
        <v>10000</v>
      </c>
      <c r="J713" s="13"/>
      <c r="K713" s="13">
        <f>ROUND(5000,2)</f>
        <v>5000</v>
      </c>
      <c r="L713" s="13"/>
      <c r="M713" s="12">
        <f>ROUND(5000,2)</f>
        <v>5000</v>
      </c>
      <c r="N713" s="12">
        <f aca="true" t="shared" si="367" ref="N713:N714">ROUND(5000,2)</f>
        <v>5000</v>
      </c>
      <c r="O713" s="12">
        <f t="shared" si="365"/>
        <v>0</v>
      </c>
      <c r="P713" s="14">
        <v>0</v>
      </c>
      <c r="Q713" s="14">
        <v>50</v>
      </c>
    </row>
    <row r="714" spans="1:17" ht="12.75" customHeight="1">
      <c r="A714" s="15" t="s">
        <v>465</v>
      </c>
      <c r="B714" s="15"/>
      <c r="C714" s="15"/>
      <c r="D714" s="15"/>
      <c r="E714" s="16" t="s">
        <v>466</v>
      </c>
      <c r="F714" s="17">
        <f t="shared" si="366"/>
        <v>10000</v>
      </c>
      <c r="G714" s="17">
        <f>ROUND(0,2)</f>
        <v>0</v>
      </c>
      <c r="H714" s="17">
        <f>ROUND(0,2)</f>
        <v>0</v>
      </c>
      <c r="I714" s="17">
        <f>ROUND(5000,2)</f>
        <v>5000</v>
      </c>
      <c r="J714" s="17"/>
      <c r="K714" s="17">
        <f>ROUND(0,2)</f>
        <v>0</v>
      </c>
      <c r="L714" s="17"/>
      <c r="M714" s="17">
        <f>ROUND(0,2)</f>
        <v>0</v>
      </c>
      <c r="N714" s="17">
        <f t="shared" si="367"/>
        <v>5000</v>
      </c>
      <c r="O714" s="17">
        <f>ROUND(5000,2)</f>
        <v>5000</v>
      </c>
      <c r="P714" s="18">
        <v>100</v>
      </c>
      <c r="Q714" s="18">
        <v>100</v>
      </c>
    </row>
    <row r="715" spans="1:17" ht="12.75" customHeight="1">
      <c r="A715" s="19" t="s">
        <v>316</v>
      </c>
      <c r="B715" s="19"/>
      <c r="C715" s="19"/>
      <c r="D715" s="19"/>
      <c r="E715" s="20">
        <f>SUM('DS1'!$A$176:$A$177)</f>
        <v>0</v>
      </c>
      <c r="F715" s="20">
        <v>18631.17</v>
      </c>
      <c r="G715" s="20">
        <v>18631.17</v>
      </c>
      <c r="H715" s="20">
        <v>18631.17</v>
      </c>
      <c r="I715" s="21">
        <v>18631.17</v>
      </c>
      <c r="J715" s="21"/>
      <c r="K715" s="21">
        <v>13631.17</v>
      </c>
      <c r="L715" s="21"/>
      <c r="M715" s="20">
        <v>13631.17</v>
      </c>
      <c r="N715" s="20">
        <v>13631.17</v>
      </c>
      <c r="O715" s="20">
        <v>0</v>
      </c>
      <c r="P715" s="22">
        <v>0</v>
      </c>
      <c r="Q715" s="22">
        <v>73.1632527640508</v>
      </c>
    </row>
    <row r="716" spans="1:17" ht="12.75" customHeight="1">
      <c r="A716" s="23"/>
      <c r="B716" s="24"/>
      <c r="C716" s="24"/>
      <c r="D716" s="24"/>
      <c r="E716" s="23"/>
      <c r="F716" s="20">
        <v>10000</v>
      </c>
      <c r="G716" s="20">
        <v>0</v>
      </c>
      <c r="H716" s="20">
        <v>0</v>
      </c>
      <c r="I716" s="21">
        <v>5000</v>
      </c>
      <c r="J716" s="21"/>
      <c r="K716" s="21">
        <v>0</v>
      </c>
      <c r="L716" s="21"/>
      <c r="M716" s="20">
        <v>0</v>
      </c>
      <c r="N716" s="20">
        <v>5000</v>
      </c>
      <c r="O716" s="20">
        <v>5000</v>
      </c>
      <c r="P716" s="22">
        <v>100</v>
      </c>
      <c r="Q716" s="22">
        <v>100</v>
      </c>
    </row>
    <row r="717" spans="1:17" ht="20.25" customHeight="1">
      <c r="A717" s="23"/>
      <c r="B717" s="24"/>
      <c r="C717" s="24"/>
      <c r="D717" s="24"/>
      <c r="E717" s="23"/>
      <c r="F717" s="23"/>
      <c r="G717" s="23"/>
      <c r="H717" s="23"/>
      <c r="I717" s="24"/>
      <c r="J717" s="24"/>
      <c r="K717" s="24"/>
      <c r="L717" s="24"/>
      <c r="M717" s="23"/>
      <c r="N717" s="23"/>
      <c r="O717" s="23"/>
      <c r="P717" s="23"/>
      <c r="Q717" s="23"/>
    </row>
    <row r="718" spans="1:17" ht="12.75" customHeight="1">
      <c r="A718" s="10"/>
      <c r="B718" s="11" t="s">
        <v>467</v>
      </c>
      <c r="C718" s="11"/>
      <c r="D718" s="11"/>
      <c r="E718" s="12">
        <f>ROUND(60000,2)</f>
        <v>60000</v>
      </c>
      <c r="F718" s="12">
        <f>ROUND(-8631.17,2)</f>
        <v>-8631.17</v>
      </c>
      <c r="G718" s="12">
        <f>ROUND(51368.83,2)</f>
        <v>51368.83</v>
      </c>
      <c r="H718" s="12">
        <f aca="true" t="shared" si="368" ref="H718:H719">ROUND(0,2)</f>
        <v>0</v>
      </c>
      <c r="I718" s="13">
        <f aca="true" t="shared" si="369" ref="I718:I719">ROUND(0,2)</f>
        <v>0</v>
      </c>
      <c r="J718" s="13"/>
      <c r="K718" s="13">
        <f aca="true" t="shared" si="370" ref="K718:K719">ROUND(0,2)</f>
        <v>0</v>
      </c>
      <c r="L718" s="13"/>
      <c r="M718" s="12">
        <f aca="true" t="shared" si="371" ref="M718:M719">ROUND(0,2)</f>
        <v>0</v>
      </c>
      <c r="N718" s="12">
        <f aca="true" t="shared" si="372" ref="N718:N719">ROUND(0,2)</f>
        <v>0</v>
      </c>
      <c r="O718" s="12">
        <f aca="true" t="shared" si="373" ref="O718:O719">ROUND(51368.83,2)</f>
        <v>51368.83</v>
      </c>
      <c r="P718" s="14">
        <v>100</v>
      </c>
      <c r="Q718" s="14">
        <v>0</v>
      </c>
    </row>
    <row r="719" spans="1:17" ht="12.75" customHeight="1">
      <c r="A719" s="15" t="s">
        <v>468</v>
      </c>
      <c r="B719" s="15"/>
      <c r="C719" s="15"/>
      <c r="D719" s="15"/>
      <c r="E719" s="16" t="s">
        <v>469</v>
      </c>
      <c r="F719" s="17">
        <f>ROUND(0,2)</f>
        <v>0</v>
      </c>
      <c r="G719" s="17">
        <f>ROUND(0,2)</f>
        <v>0</v>
      </c>
      <c r="H719" s="17">
        <f t="shared" si="368"/>
        <v>0</v>
      </c>
      <c r="I719" s="17">
        <f t="shared" si="369"/>
        <v>0</v>
      </c>
      <c r="J719" s="17"/>
      <c r="K719" s="17">
        <f t="shared" si="370"/>
        <v>0</v>
      </c>
      <c r="L719" s="17"/>
      <c r="M719" s="17">
        <f t="shared" si="371"/>
        <v>0</v>
      </c>
      <c r="N719" s="17">
        <f t="shared" si="372"/>
        <v>0</v>
      </c>
      <c r="O719" s="17">
        <f t="shared" si="373"/>
        <v>51368.83</v>
      </c>
      <c r="P719" s="18">
        <v>0</v>
      </c>
      <c r="Q719" s="18">
        <v>0</v>
      </c>
    </row>
    <row r="720" spans="1:17" ht="12.75" customHeight="1">
      <c r="A720" s="19" t="s">
        <v>470</v>
      </c>
      <c r="B720" s="19"/>
      <c r="C720" s="19"/>
      <c r="D720" s="19"/>
      <c r="E720" s="20">
        <f>SUM('DS1'!$A$178)</f>
        <v>60000</v>
      </c>
      <c r="F720" s="20">
        <v>-8631.17</v>
      </c>
      <c r="G720" s="20">
        <v>51368.83</v>
      </c>
      <c r="H720" s="20">
        <v>0</v>
      </c>
      <c r="I720" s="21">
        <v>0</v>
      </c>
      <c r="J720" s="21"/>
      <c r="K720" s="21">
        <v>0</v>
      </c>
      <c r="L720" s="21"/>
      <c r="M720" s="20">
        <v>0</v>
      </c>
      <c r="N720" s="20">
        <v>0</v>
      </c>
      <c r="O720" s="20">
        <v>51368.83</v>
      </c>
      <c r="P720" s="22">
        <v>100</v>
      </c>
      <c r="Q720" s="22">
        <v>0</v>
      </c>
    </row>
    <row r="721" spans="1:17" ht="12.75" customHeight="1">
      <c r="A721" s="23"/>
      <c r="B721" s="24"/>
      <c r="C721" s="24"/>
      <c r="D721" s="24"/>
      <c r="E721" s="23"/>
      <c r="F721" s="20">
        <v>0</v>
      </c>
      <c r="G721" s="20">
        <v>0</v>
      </c>
      <c r="H721" s="20">
        <v>0</v>
      </c>
      <c r="I721" s="21">
        <v>0</v>
      </c>
      <c r="J721" s="21"/>
      <c r="K721" s="21">
        <v>0</v>
      </c>
      <c r="L721" s="21"/>
      <c r="M721" s="20">
        <v>0</v>
      </c>
      <c r="N721" s="20">
        <v>0</v>
      </c>
      <c r="O721" s="20">
        <v>51368.83</v>
      </c>
      <c r="P721" s="22">
        <v>0</v>
      </c>
      <c r="Q721" s="22">
        <v>0</v>
      </c>
    </row>
    <row r="722" spans="1:17" ht="20.25" customHeight="1">
      <c r="A722" s="23"/>
      <c r="B722" s="24"/>
      <c r="C722" s="24"/>
      <c r="D722" s="24"/>
      <c r="E722" s="23"/>
      <c r="F722" s="23"/>
      <c r="G722" s="23"/>
      <c r="H722" s="23"/>
      <c r="I722" s="24"/>
      <c r="J722" s="24"/>
      <c r="K722" s="24"/>
      <c r="L722" s="24"/>
      <c r="M722" s="23"/>
      <c r="N722" s="23"/>
      <c r="O722" s="23"/>
      <c r="P722" s="23"/>
      <c r="Q722" s="23"/>
    </row>
    <row r="723" spans="1:17" ht="12.75" customHeight="1">
      <c r="A723" s="19" t="s">
        <v>471</v>
      </c>
      <c r="B723" s="19"/>
      <c r="C723" s="19"/>
      <c r="D723" s="19"/>
      <c r="E723" s="20">
        <f>SUM('DS1'!$A$145:$A$178)</f>
        <v>5638241.13</v>
      </c>
      <c r="F723" s="20">
        <v>68593.43000000001</v>
      </c>
      <c r="G723" s="20">
        <v>5706834.56</v>
      </c>
      <c r="H723" s="20">
        <v>3413557.43</v>
      </c>
      <c r="I723" s="21">
        <v>3413557.43</v>
      </c>
      <c r="J723" s="21"/>
      <c r="K723" s="21">
        <v>3389231.81</v>
      </c>
      <c r="L723" s="21"/>
      <c r="M723" s="20">
        <v>3389231.81</v>
      </c>
      <c r="N723" s="20">
        <v>3362641.44</v>
      </c>
      <c r="O723" s="20">
        <v>2289080.06</v>
      </c>
      <c r="P723" s="22">
        <v>40.111204134854056</v>
      </c>
      <c r="Q723" s="22">
        <v>59.38899707651593</v>
      </c>
    </row>
    <row r="724" spans="1:17" ht="12.75" customHeight="1">
      <c r="A724" s="23"/>
      <c r="B724" s="24"/>
      <c r="C724" s="24"/>
      <c r="D724" s="24"/>
      <c r="E724" s="23"/>
      <c r="F724" s="20">
        <v>36894.15</v>
      </c>
      <c r="G724" s="20">
        <v>4197.07</v>
      </c>
      <c r="H724" s="20">
        <v>0</v>
      </c>
      <c r="I724" s="21">
        <v>24325.619999999995</v>
      </c>
      <c r="J724" s="21"/>
      <c r="K724" s="21">
        <v>0</v>
      </c>
      <c r="L724" s="21"/>
      <c r="M724" s="20">
        <v>26590.369999999988</v>
      </c>
      <c r="N724" s="20">
        <v>5000</v>
      </c>
      <c r="O724" s="20">
        <v>2317602.7499999995</v>
      </c>
      <c r="P724" s="22">
        <v>59.81525124148684</v>
      </c>
      <c r="Q724" s="22">
        <v>99.21544552008675</v>
      </c>
    </row>
    <row r="725" spans="1:17" ht="18" customHeight="1">
      <c r="A725" s="23"/>
      <c r="B725" s="24"/>
      <c r="C725" s="24"/>
      <c r="D725" s="24"/>
      <c r="E725" s="23"/>
      <c r="F725" s="23"/>
      <c r="G725" s="23"/>
      <c r="H725" s="23"/>
      <c r="I725" s="24"/>
      <c r="J725" s="24"/>
      <c r="K725" s="24"/>
      <c r="L725" s="24"/>
      <c r="M725" s="23"/>
      <c r="N725" s="23"/>
      <c r="O725" s="23"/>
      <c r="P725" s="23"/>
      <c r="Q725" s="23"/>
    </row>
    <row r="726" spans="1:17" ht="12.75" customHeight="1">
      <c r="A726" s="10"/>
      <c r="B726" s="11" t="s">
        <v>472</v>
      </c>
      <c r="C726" s="11"/>
      <c r="D726" s="11"/>
      <c r="E726" s="12">
        <f>ROUND(0,2)</f>
        <v>0</v>
      </c>
      <c r="F726" s="12">
        <f>ROUND(141391.74,2)</f>
        <v>141391.74</v>
      </c>
      <c r="G726" s="12">
        <f>ROUND(141391.74,2)</f>
        <v>141391.74</v>
      </c>
      <c r="H726" s="12">
        <f>ROUND(18061.76,2)</f>
        <v>18061.76</v>
      </c>
      <c r="I726" s="13">
        <f>ROUND(18061.76,2)</f>
        <v>18061.76</v>
      </c>
      <c r="J726" s="13"/>
      <c r="K726" s="13">
        <f>ROUND(18061.76,2)</f>
        <v>18061.76</v>
      </c>
      <c r="L726" s="13"/>
      <c r="M726" s="12">
        <f>ROUND(18061.76,2)</f>
        <v>18061.76</v>
      </c>
      <c r="N726" s="12">
        <f>ROUND(18061.76,2)</f>
        <v>18061.76</v>
      </c>
      <c r="O726" s="12">
        <f aca="true" t="shared" si="374" ref="O726:O727">ROUND(123329.98,2)</f>
        <v>123329.98</v>
      </c>
      <c r="P726" s="14">
        <v>87.22573185675486</v>
      </c>
      <c r="Q726" s="14">
        <v>12.774268143245143</v>
      </c>
    </row>
    <row r="727" spans="1:17" ht="12.75" customHeight="1">
      <c r="A727" s="15" t="s">
        <v>473</v>
      </c>
      <c r="B727" s="15"/>
      <c r="C727" s="15"/>
      <c r="D727" s="15"/>
      <c r="E727" s="16" t="s">
        <v>472</v>
      </c>
      <c r="F727" s="17">
        <f>ROUND(0,2)</f>
        <v>0</v>
      </c>
      <c r="G727" s="17">
        <f>ROUND(0,2)</f>
        <v>0</v>
      </c>
      <c r="H727" s="17">
        <f>ROUND(0,2)</f>
        <v>0</v>
      </c>
      <c r="I727" s="17">
        <f>ROUND(0,2)</f>
        <v>0</v>
      </c>
      <c r="J727" s="17"/>
      <c r="K727" s="17">
        <f>ROUND(0,2)</f>
        <v>0</v>
      </c>
      <c r="L727" s="17"/>
      <c r="M727" s="17">
        <f>ROUND(0,2)</f>
        <v>0</v>
      </c>
      <c r="N727" s="17">
        <f>ROUND(0,2)</f>
        <v>0</v>
      </c>
      <c r="O727" s="17">
        <f t="shared" si="374"/>
        <v>123329.98</v>
      </c>
      <c r="P727" s="18">
        <v>12.774268143245143</v>
      </c>
      <c r="Q727" s="18">
        <v>100</v>
      </c>
    </row>
    <row r="728" spans="1:17" ht="12.75" customHeight="1">
      <c r="A728" s="10"/>
      <c r="B728" s="11" t="s">
        <v>474</v>
      </c>
      <c r="C728" s="11"/>
      <c r="D728" s="11"/>
      <c r="E728" s="12">
        <f>ROUND(0,2)</f>
        <v>0</v>
      </c>
      <c r="F728" s="12">
        <f>ROUND(742549.85,2)</f>
        <v>742549.85</v>
      </c>
      <c r="G728" s="12">
        <f>ROUND(742549.85,2)</f>
        <v>742549.85</v>
      </c>
      <c r="H728" s="12">
        <f>ROUND(19198.09,2)</f>
        <v>19198.09</v>
      </c>
      <c r="I728" s="13">
        <f>ROUND(19198.09,2)</f>
        <v>19198.09</v>
      </c>
      <c r="J728" s="13"/>
      <c r="K728" s="13">
        <f>ROUND(19198.09,2)</f>
        <v>19198.09</v>
      </c>
      <c r="L728" s="13"/>
      <c r="M728" s="12">
        <f>ROUND(19198.09,2)</f>
        <v>19198.09</v>
      </c>
      <c r="N728" s="12">
        <f>ROUND(19198.09,2)</f>
        <v>19198.09</v>
      </c>
      <c r="O728" s="12">
        <f aca="true" t="shared" si="375" ref="O728:O729">ROUND(723351.76,2)</f>
        <v>723351.76</v>
      </c>
      <c r="P728" s="14">
        <v>97.4145722337699</v>
      </c>
      <c r="Q728" s="14">
        <v>2.5854277662301057</v>
      </c>
    </row>
    <row r="729" spans="1:17" ht="12.75" customHeight="1">
      <c r="A729" s="15" t="s">
        <v>475</v>
      </c>
      <c r="B729" s="15"/>
      <c r="C729" s="15"/>
      <c r="D729" s="15"/>
      <c r="E729" s="16" t="s">
        <v>474</v>
      </c>
      <c r="F729" s="17">
        <f>ROUND(0,2)</f>
        <v>0</v>
      </c>
      <c r="G729" s="17">
        <f>ROUND(0,2)</f>
        <v>0</v>
      </c>
      <c r="H729" s="17">
        <f>ROUND(0,2)</f>
        <v>0</v>
      </c>
      <c r="I729" s="17">
        <f>ROUND(0,2)</f>
        <v>0</v>
      </c>
      <c r="J729" s="17"/>
      <c r="K729" s="17">
        <f>ROUND(0,2)</f>
        <v>0</v>
      </c>
      <c r="L729" s="17"/>
      <c r="M729" s="17">
        <f>ROUND(0,2)</f>
        <v>0</v>
      </c>
      <c r="N729" s="17">
        <f>ROUND(0,2)</f>
        <v>0</v>
      </c>
      <c r="O729" s="17">
        <f t="shared" si="375"/>
        <v>723351.76</v>
      </c>
      <c r="P729" s="18">
        <v>2.5854277662301057</v>
      </c>
      <c r="Q729" s="18">
        <v>100</v>
      </c>
    </row>
    <row r="730" spans="1:17" ht="12.75" customHeight="1">
      <c r="A730" s="10" t="s">
        <v>83</v>
      </c>
      <c r="B730" s="11" t="s">
        <v>476</v>
      </c>
      <c r="C730" s="11"/>
      <c r="D730" s="11"/>
      <c r="E730" s="12">
        <f>ROUND(0,2)</f>
        <v>0</v>
      </c>
      <c r="F730" s="12">
        <f aca="true" t="shared" si="376" ref="F730:F731">ROUND(200692.91,2)</f>
        <v>200692.91</v>
      </c>
      <c r="G730" s="12">
        <f>ROUND(200692.91,2)</f>
        <v>200692.91</v>
      </c>
      <c r="H730" s="12">
        <f>ROUND(195145.58,2)</f>
        <v>195145.58</v>
      </c>
      <c r="I730" s="13">
        <f>ROUND(195145.58,2)</f>
        <v>195145.58</v>
      </c>
      <c r="J730" s="13"/>
      <c r="K730" s="13">
        <f>ROUND(195145.58,2)</f>
        <v>195145.58</v>
      </c>
      <c r="L730" s="13"/>
      <c r="M730" s="12">
        <f>ROUND(195145.58,2)</f>
        <v>195145.58</v>
      </c>
      <c r="N730" s="12">
        <f>ROUND(195145.58,2)</f>
        <v>195145.58</v>
      </c>
      <c r="O730" s="12">
        <f>ROUND(5547.33,2)</f>
        <v>5547.33</v>
      </c>
      <c r="P730" s="14">
        <v>2.7640886765755703</v>
      </c>
      <c r="Q730" s="14">
        <v>97.23591132342442</v>
      </c>
    </row>
    <row r="731" spans="1:17" ht="12.75" customHeight="1">
      <c r="A731" s="15" t="s">
        <v>477</v>
      </c>
      <c r="B731" s="15"/>
      <c r="C731" s="15"/>
      <c r="D731" s="15"/>
      <c r="E731" s="16" t="s">
        <v>478</v>
      </c>
      <c r="F731" s="17">
        <f t="shared" si="376"/>
        <v>200692.91</v>
      </c>
      <c r="G731" s="17">
        <f>ROUND(0,2)</f>
        <v>0</v>
      </c>
      <c r="H731" s="17">
        <f>ROUND(0,2)</f>
        <v>0</v>
      </c>
      <c r="I731" s="17">
        <f>ROUND(0,2)</f>
        <v>0</v>
      </c>
      <c r="J731" s="17"/>
      <c r="K731" s="17">
        <f>ROUND(0,2)</f>
        <v>0</v>
      </c>
      <c r="L731" s="17"/>
      <c r="M731" s="17">
        <f>ROUND(0,2)</f>
        <v>0</v>
      </c>
      <c r="N731" s="17">
        <f>ROUND(0,2)</f>
        <v>0</v>
      </c>
      <c r="O731" s="17">
        <f>ROUND(5547.33000000002,2)</f>
        <v>5547.33</v>
      </c>
      <c r="P731" s="18">
        <v>97.23591132342442</v>
      </c>
      <c r="Q731" s="18">
        <v>100</v>
      </c>
    </row>
    <row r="732" spans="1:17" ht="12.75" customHeight="1">
      <c r="A732" s="10"/>
      <c r="B732" s="11" t="s">
        <v>479</v>
      </c>
      <c r="C732" s="11"/>
      <c r="D732" s="11"/>
      <c r="E732" s="12">
        <f>ROUND(0,2)</f>
        <v>0</v>
      </c>
      <c r="F732" s="12">
        <f>ROUND(327904.99,2)</f>
        <v>327904.99</v>
      </c>
      <c r="G732" s="12">
        <f>ROUND(327904.99,2)</f>
        <v>327904.99</v>
      </c>
      <c r="H732" s="12">
        <f>ROUND(102235.62,2)</f>
        <v>102235.62</v>
      </c>
      <c r="I732" s="13">
        <f>ROUND(102235.62,2)</f>
        <v>102235.62</v>
      </c>
      <c r="J732" s="13"/>
      <c r="K732" s="13">
        <f>ROUND(102235.62,2)</f>
        <v>102235.62</v>
      </c>
      <c r="L732" s="13"/>
      <c r="M732" s="12">
        <f>ROUND(102235.62,2)</f>
        <v>102235.62</v>
      </c>
      <c r="N732" s="12">
        <f>ROUND(102235.62,2)</f>
        <v>102235.62</v>
      </c>
      <c r="O732" s="12">
        <f aca="true" t="shared" si="377" ref="O732:O733">ROUND(225669.37,2)</f>
        <v>225669.37</v>
      </c>
      <c r="P732" s="14">
        <v>68.82157237070409</v>
      </c>
      <c r="Q732" s="14">
        <v>31.178427629295914</v>
      </c>
    </row>
    <row r="733" spans="1:17" ht="12.75" customHeight="1">
      <c r="A733" s="15" t="s">
        <v>480</v>
      </c>
      <c r="B733" s="15"/>
      <c r="C733" s="15"/>
      <c r="D733" s="15"/>
      <c r="E733" s="16" t="s">
        <v>479</v>
      </c>
      <c r="F733" s="17">
        <f>ROUND(0,2)</f>
        <v>0</v>
      </c>
      <c r="G733" s="17">
        <f>ROUND(0,2)</f>
        <v>0</v>
      </c>
      <c r="H733" s="17">
        <f>ROUND(0,2)</f>
        <v>0</v>
      </c>
      <c r="I733" s="17">
        <f>ROUND(0,2)</f>
        <v>0</v>
      </c>
      <c r="J733" s="17"/>
      <c r="K733" s="17">
        <f>ROUND(0,2)</f>
        <v>0</v>
      </c>
      <c r="L733" s="17"/>
      <c r="M733" s="17">
        <f>ROUND(0,2)</f>
        <v>0</v>
      </c>
      <c r="N733" s="17">
        <f>ROUND(421.02,2)</f>
        <v>421.02</v>
      </c>
      <c r="O733" s="17">
        <f t="shared" si="377"/>
        <v>225669.37</v>
      </c>
      <c r="P733" s="18">
        <v>31.178427629295914</v>
      </c>
      <c r="Q733" s="18">
        <v>100</v>
      </c>
    </row>
    <row r="734" spans="1:17" ht="12.75" customHeight="1">
      <c r="A734" s="10" t="s">
        <v>83</v>
      </c>
      <c r="B734" s="11" t="s">
        <v>481</v>
      </c>
      <c r="C734" s="11"/>
      <c r="D734" s="11"/>
      <c r="E734" s="12">
        <f>ROUND(0,2)</f>
        <v>0</v>
      </c>
      <c r="F734" s="12">
        <f aca="true" t="shared" si="378" ref="F734:F735">ROUND(196865.04,2)</f>
        <v>196865.04</v>
      </c>
      <c r="G734" s="12">
        <f>ROUND(196865.04,2)</f>
        <v>196865.04</v>
      </c>
      <c r="H734" s="12">
        <f>ROUND(189568.26,2)</f>
        <v>189568.26</v>
      </c>
      <c r="I734" s="13">
        <f>ROUND(189568.26,2)</f>
        <v>189568.26</v>
      </c>
      <c r="J734" s="13"/>
      <c r="K734" s="13">
        <f>ROUND(189568.26,2)</f>
        <v>189568.26</v>
      </c>
      <c r="L734" s="13"/>
      <c r="M734" s="12">
        <f>ROUND(189568.26,2)</f>
        <v>189568.26</v>
      </c>
      <c r="N734" s="12">
        <f>ROUND(189568.26,2)</f>
        <v>189568.26</v>
      </c>
      <c r="O734" s="12">
        <f>ROUND(7296.78,2)</f>
        <v>7296.78</v>
      </c>
      <c r="P734" s="14">
        <v>3.706488465397411</v>
      </c>
      <c r="Q734" s="14">
        <v>96.2935115346026</v>
      </c>
    </row>
    <row r="735" spans="1:17" ht="12.75" customHeight="1">
      <c r="A735" s="15" t="s">
        <v>482</v>
      </c>
      <c r="B735" s="15"/>
      <c r="C735" s="15"/>
      <c r="D735" s="15"/>
      <c r="E735" s="16" t="s">
        <v>483</v>
      </c>
      <c r="F735" s="17">
        <f t="shared" si="378"/>
        <v>196865.04</v>
      </c>
      <c r="G735" s="17">
        <f>ROUND(0,2)</f>
        <v>0</v>
      </c>
      <c r="H735" s="17">
        <f>ROUND(0,2)</f>
        <v>0</v>
      </c>
      <c r="I735" s="17">
        <f>ROUND(0,2)</f>
        <v>0</v>
      </c>
      <c r="J735" s="17"/>
      <c r="K735" s="17">
        <f>ROUND(0,2)</f>
        <v>0</v>
      </c>
      <c r="L735" s="17"/>
      <c r="M735" s="17">
        <f>ROUND(0,2)</f>
        <v>0</v>
      </c>
      <c r="N735" s="17">
        <f>ROUND(0,2)</f>
        <v>0</v>
      </c>
      <c r="O735" s="17">
        <f>ROUND(7296.78,2)</f>
        <v>7296.78</v>
      </c>
      <c r="P735" s="18">
        <v>96.2935115346026</v>
      </c>
      <c r="Q735" s="18">
        <v>100</v>
      </c>
    </row>
    <row r="736" spans="1:17" ht="12.75" customHeight="1">
      <c r="A736" s="10" t="s">
        <v>83</v>
      </c>
      <c r="B736" s="11" t="s">
        <v>484</v>
      </c>
      <c r="C736" s="11"/>
      <c r="D736" s="11"/>
      <c r="E736" s="12">
        <f>ROUND(0,2)</f>
        <v>0</v>
      </c>
      <c r="F736" s="12">
        <f aca="true" t="shared" si="379" ref="F736:F737">ROUND(75325.02,2)</f>
        <v>75325.02</v>
      </c>
      <c r="G736" s="12">
        <f>ROUND(75325.02,2)</f>
        <v>75325.02</v>
      </c>
      <c r="H736" s="12">
        <f>ROUND(70413.81,2)</f>
        <v>70413.81</v>
      </c>
      <c r="I736" s="13">
        <f>ROUND(70413.81,2)</f>
        <v>70413.81</v>
      </c>
      <c r="J736" s="13"/>
      <c r="K736" s="13">
        <f>ROUND(70413.81,2)</f>
        <v>70413.81</v>
      </c>
      <c r="L736" s="13"/>
      <c r="M736" s="12">
        <f>ROUND(70413.81,2)</f>
        <v>70413.81</v>
      </c>
      <c r="N736" s="12">
        <f>ROUND(70413.81,2)</f>
        <v>70413.81</v>
      </c>
      <c r="O736" s="12">
        <f>ROUND(4911.21,2)</f>
        <v>4911.21</v>
      </c>
      <c r="P736" s="14">
        <v>6.520024820438149</v>
      </c>
      <c r="Q736" s="14">
        <v>93.47997517956185</v>
      </c>
    </row>
    <row r="737" spans="1:17" ht="12.75" customHeight="1">
      <c r="A737" s="15" t="s">
        <v>485</v>
      </c>
      <c r="B737" s="15"/>
      <c r="C737" s="15"/>
      <c r="D737" s="15"/>
      <c r="E737" s="16" t="s">
        <v>486</v>
      </c>
      <c r="F737" s="17">
        <f t="shared" si="379"/>
        <v>75325.02</v>
      </c>
      <c r="G737" s="17">
        <f>ROUND(0,2)</f>
        <v>0</v>
      </c>
      <c r="H737" s="17">
        <f>ROUND(0,2)</f>
        <v>0</v>
      </c>
      <c r="I737" s="17">
        <f>ROUND(0,2)</f>
        <v>0</v>
      </c>
      <c r="J737" s="17"/>
      <c r="K737" s="17">
        <f>ROUND(0,2)</f>
        <v>0</v>
      </c>
      <c r="L737" s="17"/>
      <c r="M737" s="17">
        <f>ROUND(0,2)</f>
        <v>0</v>
      </c>
      <c r="N737" s="17">
        <f>ROUND(0,2)</f>
        <v>0</v>
      </c>
      <c r="O737" s="17">
        <f>ROUND(4911.21000000001,2)</f>
        <v>4911.21</v>
      </c>
      <c r="P737" s="18">
        <v>93.47997517956185</v>
      </c>
      <c r="Q737" s="18">
        <v>100</v>
      </c>
    </row>
    <row r="738" spans="1:17" ht="12.75" customHeight="1">
      <c r="A738" s="10"/>
      <c r="B738" s="11" t="s">
        <v>487</v>
      </c>
      <c r="C738" s="11"/>
      <c r="D738" s="11"/>
      <c r="E738" s="12">
        <f>ROUND(0,2)</f>
        <v>0</v>
      </c>
      <c r="F738" s="12">
        <f>ROUND(242327.43,2)</f>
        <v>242327.43</v>
      </c>
      <c r="G738" s="12">
        <f>ROUND(242327.43,2)</f>
        <v>242327.43</v>
      </c>
      <c r="H738" s="12">
        <f>ROUND(215653.39,2)</f>
        <v>215653.39</v>
      </c>
      <c r="I738" s="13">
        <f>ROUND(215653.39,2)</f>
        <v>215653.39</v>
      </c>
      <c r="J738" s="13"/>
      <c r="K738" s="13">
        <f>ROUND(215653.39,2)</f>
        <v>215653.39</v>
      </c>
      <c r="L738" s="13"/>
      <c r="M738" s="12">
        <f>ROUND(215653.39,2)</f>
        <v>215653.39</v>
      </c>
      <c r="N738" s="12">
        <f>ROUND(215653.39,2)</f>
        <v>215653.39</v>
      </c>
      <c r="O738" s="12">
        <f>ROUND(26674.04,2)</f>
        <v>26674.04</v>
      </c>
      <c r="P738" s="14">
        <v>11.007437333858574</v>
      </c>
      <c r="Q738" s="14">
        <v>88.99256266614144</v>
      </c>
    </row>
    <row r="739" spans="1:17" ht="12.75" customHeight="1">
      <c r="A739" s="15" t="s">
        <v>488</v>
      </c>
      <c r="B739" s="15"/>
      <c r="C739" s="15"/>
      <c r="D739" s="15"/>
      <c r="E739" s="16" t="s">
        <v>487</v>
      </c>
      <c r="F739" s="17">
        <f>ROUND(0,2)</f>
        <v>0</v>
      </c>
      <c r="G739" s="17">
        <f>ROUND(0,2)</f>
        <v>0</v>
      </c>
      <c r="H739" s="17">
        <f>ROUND(0,2)</f>
        <v>0</v>
      </c>
      <c r="I739" s="17">
        <f>ROUND(0,2)</f>
        <v>0</v>
      </c>
      <c r="J739" s="17"/>
      <c r="K739" s="17">
        <f>ROUND(0,2)</f>
        <v>0</v>
      </c>
      <c r="L739" s="17"/>
      <c r="M739" s="17">
        <f>ROUND(0,2)</f>
        <v>0</v>
      </c>
      <c r="N739" s="17">
        <f>ROUND(0,2)</f>
        <v>0</v>
      </c>
      <c r="O739" s="17">
        <f>ROUND(26674.04,2)</f>
        <v>26674.04</v>
      </c>
      <c r="P739" s="18">
        <v>88.99256266614144</v>
      </c>
      <c r="Q739" s="18">
        <v>100</v>
      </c>
    </row>
    <row r="740" spans="1:17" ht="12.75" customHeight="1">
      <c r="A740" s="10"/>
      <c r="B740" s="11" t="s">
        <v>489</v>
      </c>
      <c r="C740" s="11"/>
      <c r="D740" s="11"/>
      <c r="E740" s="12">
        <f>ROUND(0,2)</f>
        <v>0</v>
      </c>
      <c r="F740" s="12">
        <f>ROUND(708462.47,2)</f>
        <v>708462.47</v>
      </c>
      <c r="G740" s="12">
        <f>ROUND(708462.47,2)</f>
        <v>708462.47</v>
      </c>
      <c r="H740" s="12">
        <f>ROUND(658562.99,2)</f>
        <v>658562.99</v>
      </c>
      <c r="I740" s="13">
        <f>ROUND(658562.99,2)</f>
        <v>658562.99</v>
      </c>
      <c r="J740" s="13"/>
      <c r="K740" s="13">
        <f>ROUND(658562.99,2)</f>
        <v>658562.99</v>
      </c>
      <c r="L740" s="13"/>
      <c r="M740" s="12">
        <f>ROUND(658562.99,2)</f>
        <v>658562.99</v>
      </c>
      <c r="N740" s="12">
        <f>ROUND(658562.99,2)</f>
        <v>658562.99</v>
      </c>
      <c r="O740" s="12">
        <f>ROUND(49899.48,2)</f>
        <v>49899.48</v>
      </c>
      <c r="P740" s="14">
        <v>7.0433483935994525</v>
      </c>
      <c r="Q740" s="14">
        <v>92.95665160640056</v>
      </c>
    </row>
    <row r="741" spans="1:17" ht="12.75" customHeight="1">
      <c r="A741" s="15" t="s">
        <v>490</v>
      </c>
      <c r="B741" s="15"/>
      <c r="C741" s="15"/>
      <c r="D741" s="15"/>
      <c r="E741" s="16" t="s">
        <v>489</v>
      </c>
      <c r="F741" s="17">
        <f>ROUND(0,2)</f>
        <v>0</v>
      </c>
      <c r="G741" s="17">
        <f>ROUND(0,2)</f>
        <v>0</v>
      </c>
      <c r="H741" s="17">
        <f>ROUND(0,2)</f>
        <v>0</v>
      </c>
      <c r="I741" s="17">
        <f>ROUND(0,2)</f>
        <v>0</v>
      </c>
      <c r="J741" s="17"/>
      <c r="K741" s="17">
        <f>ROUND(0,2)</f>
        <v>0</v>
      </c>
      <c r="L741" s="17"/>
      <c r="M741" s="17">
        <f>ROUND(0,2)</f>
        <v>0</v>
      </c>
      <c r="N741" s="17">
        <f>ROUND(0,2)</f>
        <v>0</v>
      </c>
      <c r="O741" s="17">
        <f>ROUND(49899.48,2)</f>
        <v>49899.48</v>
      </c>
      <c r="P741" s="18">
        <v>92.95665160640056</v>
      </c>
      <c r="Q741" s="18">
        <v>100</v>
      </c>
    </row>
    <row r="742" spans="1:17" ht="12.75" customHeight="1">
      <c r="A742" s="10"/>
      <c r="B742" s="11" t="s">
        <v>491</v>
      </c>
      <c r="C742" s="11"/>
      <c r="D742" s="11"/>
      <c r="E742" s="12">
        <f>ROUND(0,2)</f>
        <v>0</v>
      </c>
      <c r="F742" s="12">
        <f>ROUND(302838.49,2)</f>
        <v>302838.49</v>
      </c>
      <c r="G742" s="12">
        <f>ROUND(302838.49,2)</f>
        <v>302838.49</v>
      </c>
      <c r="H742" s="12">
        <f>ROUND(231670.8,2)</f>
        <v>231670.8</v>
      </c>
      <c r="I742" s="13">
        <f>ROUND(231670.8,2)</f>
        <v>231670.8</v>
      </c>
      <c r="J742" s="13"/>
      <c r="K742" s="13">
        <f>ROUND(231670.8,2)</f>
        <v>231670.8</v>
      </c>
      <c r="L742" s="13"/>
      <c r="M742" s="12">
        <f>ROUND(231670.8,2)</f>
        <v>231670.8</v>
      </c>
      <c r="N742" s="12">
        <f>ROUND(231670.8,2)</f>
        <v>231670.8</v>
      </c>
      <c r="O742" s="12">
        <f aca="true" t="shared" si="380" ref="O742:O743">ROUND(71167.69,2)</f>
        <v>71167.69</v>
      </c>
      <c r="P742" s="14">
        <v>23.500212935284416</v>
      </c>
      <c r="Q742" s="14">
        <v>76.49978706471559</v>
      </c>
    </row>
    <row r="743" spans="1:17" ht="12.75" customHeight="1">
      <c r="A743" s="15" t="s">
        <v>492</v>
      </c>
      <c r="B743" s="15"/>
      <c r="C743" s="15"/>
      <c r="D743" s="15"/>
      <c r="E743" s="16" t="s">
        <v>491</v>
      </c>
      <c r="F743" s="17">
        <f>ROUND(0,2)</f>
        <v>0</v>
      </c>
      <c r="G743" s="17">
        <f>ROUND(0,2)</f>
        <v>0</v>
      </c>
      <c r="H743" s="17">
        <f>ROUND(0,2)</f>
        <v>0</v>
      </c>
      <c r="I743" s="17">
        <f>ROUND(0,2)</f>
        <v>0</v>
      </c>
      <c r="J743" s="17"/>
      <c r="K743" s="17">
        <f>ROUND(0,2)</f>
        <v>0</v>
      </c>
      <c r="L743" s="17"/>
      <c r="M743" s="17">
        <f>ROUND(0,2)</f>
        <v>0</v>
      </c>
      <c r="N743" s="17">
        <f>ROUND(0,2)</f>
        <v>0</v>
      </c>
      <c r="O743" s="17">
        <f t="shared" si="380"/>
        <v>71167.69</v>
      </c>
      <c r="P743" s="18">
        <v>76.49978706471559</v>
      </c>
      <c r="Q743" s="18">
        <v>100</v>
      </c>
    </row>
    <row r="744" spans="1:17" ht="12.75" customHeight="1">
      <c r="A744" s="10"/>
      <c r="B744" s="11" t="s">
        <v>493</v>
      </c>
      <c r="C744" s="11"/>
      <c r="D744" s="11"/>
      <c r="E744" s="12">
        <f>ROUND(0,2)</f>
        <v>0</v>
      </c>
      <c r="F744" s="12">
        <f>ROUND(467549.81,2)</f>
        <v>467549.81</v>
      </c>
      <c r="G744" s="12">
        <f>ROUND(467549.81,2)</f>
        <v>467549.81</v>
      </c>
      <c r="H744" s="12">
        <f>ROUND(429729.96,2)</f>
        <v>429729.96</v>
      </c>
      <c r="I744" s="13">
        <f>ROUND(429729.96,2)</f>
        <v>429729.96</v>
      </c>
      <c r="J744" s="13"/>
      <c r="K744" s="13">
        <f>ROUND(429729.96,2)</f>
        <v>429729.96</v>
      </c>
      <c r="L744" s="13"/>
      <c r="M744" s="12">
        <f>ROUND(429729.96,2)</f>
        <v>429729.96</v>
      </c>
      <c r="N744" s="12">
        <f>ROUND(429729.96,2)</f>
        <v>429729.96</v>
      </c>
      <c r="O744" s="12">
        <f>ROUND(37819.85,2)</f>
        <v>37819.85</v>
      </c>
      <c r="P744" s="14">
        <v>8.088945646240344</v>
      </c>
      <c r="Q744" s="14">
        <v>91.91105435375965</v>
      </c>
    </row>
    <row r="745" spans="1:17" ht="12.75" customHeight="1">
      <c r="A745" s="15" t="s">
        <v>494</v>
      </c>
      <c r="B745" s="15"/>
      <c r="C745" s="15"/>
      <c r="D745" s="15"/>
      <c r="E745" s="16" t="s">
        <v>493</v>
      </c>
      <c r="F745" s="17">
        <f>ROUND(0,2)</f>
        <v>0</v>
      </c>
      <c r="G745" s="17">
        <f>ROUND(0,2)</f>
        <v>0</v>
      </c>
      <c r="H745" s="17">
        <f>ROUND(0,2)</f>
        <v>0</v>
      </c>
      <c r="I745" s="17">
        <f>ROUND(0,2)</f>
        <v>0</v>
      </c>
      <c r="J745" s="17"/>
      <c r="K745" s="17">
        <f>ROUND(0,2)</f>
        <v>0</v>
      </c>
      <c r="L745" s="17"/>
      <c r="M745" s="17">
        <f>ROUND(0,2)</f>
        <v>0</v>
      </c>
      <c r="N745" s="17">
        <f>ROUND(0,2)</f>
        <v>0</v>
      </c>
      <c r="O745" s="17">
        <f>ROUND(37819.85,2)</f>
        <v>37819.85</v>
      </c>
      <c r="P745" s="18">
        <v>91.91105435375965</v>
      </c>
      <c r="Q745" s="18">
        <v>100</v>
      </c>
    </row>
    <row r="746" spans="1:17" ht="12.75" customHeight="1">
      <c r="A746" s="10" t="s">
        <v>83</v>
      </c>
      <c r="B746" s="11" t="s">
        <v>495</v>
      </c>
      <c r="C746" s="11"/>
      <c r="D746" s="11"/>
      <c r="E746" s="12">
        <f>ROUND(0,2)</f>
        <v>0</v>
      </c>
      <c r="F746" s="12">
        <f aca="true" t="shared" si="381" ref="F746:F747">ROUND(227236.09,2)</f>
        <v>227236.09</v>
      </c>
      <c r="G746" s="12">
        <f>ROUND(227236.09,2)</f>
        <v>227236.09</v>
      </c>
      <c r="H746" s="12">
        <f>ROUND(215172.89,2)</f>
        <v>215172.89</v>
      </c>
      <c r="I746" s="13">
        <f>ROUND(215172.89,2)</f>
        <v>215172.89</v>
      </c>
      <c r="J746" s="13"/>
      <c r="K746" s="13">
        <f>ROUND(215172.89,2)</f>
        <v>215172.89</v>
      </c>
      <c r="L746" s="13"/>
      <c r="M746" s="12">
        <f>ROUND(215172.89,2)</f>
        <v>215172.89</v>
      </c>
      <c r="N746" s="12">
        <f>ROUND(215172.89,2)</f>
        <v>215172.89</v>
      </c>
      <c r="O746" s="12">
        <f>ROUND(12063.2,2)</f>
        <v>12063.2</v>
      </c>
      <c r="P746" s="14">
        <v>5.308663777835642</v>
      </c>
      <c r="Q746" s="14">
        <v>94.69133622216437</v>
      </c>
    </row>
    <row r="747" spans="1:17" ht="12.75" customHeight="1">
      <c r="A747" s="15" t="s">
        <v>496</v>
      </c>
      <c r="B747" s="15"/>
      <c r="C747" s="15"/>
      <c r="D747" s="15"/>
      <c r="E747" s="16" t="s">
        <v>497</v>
      </c>
      <c r="F747" s="17">
        <f t="shared" si="381"/>
        <v>227236.09</v>
      </c>
      <c r="G747" s="17">
        <f>ROUND(0,2)</f>
        <v>0</v>
      </c>
      <c r="H747" s="17">
        <f>ROUND(0,2)</f>
        <v>0</v>
      </c>
      <c r="I747" s="17">
        <f>ROUND(0,2)</f>
        <v>0</v>
      </c>
      <c r="J747" s="17"/>
      <c r="K747" s="17">
        <f>ROUND(0,2)</f>
        <v>0</v>
      </c>
      <c r="L747" s="17"/>
      <c r="M747" s="17">
        <f>ROUND(0,2)</f>
        <v>0</v>
      </c>
      <c r="N747" s="17">
        <f>ROUND(0,2)</f>
        <v>0</v>
      </c>
      <c r="O747" s="17">
        <f>ROUND(12063.2,2)</f>
        <v>12063.2</v>
      </c>
      <c r="P747" s="18">
        <v>94.69133622216437</v>
      </c>
      <c r="Q747" s="18">
        <v>100</v>
      </c>
    </row>
    <row r="748" spans="1:17" ht="12.75" customHeight="1">
      <c r="A748" s="19" t="s">
        <v>264</v>
      </c>
      <c r="B748" s="19"/>
      <c r="C748" s="19"/>
      <c r="D748" s="19"/>
      <c r="E748" s="20">
        <f>SUM('DS1'!$A$179:$A$189)</f>
        <v>0</v>
      </c>
      <c r="F748" s="20">
        <v>3633143.8400000003</v>
      </c>
      <c r="G748" s="20">
        <v>3633143.8400000003</v>
      </c>
      <c r="H748" s="20">
        <v>2345413.15</v>
      </c>
      <c r="I748" s="21">
        <v>2345413.15</v>
      </c>
      <c r="J748" s="21"/>
      <c r="K748" s="21">
        <v>2345413.15</v>
      </c>
      <c r="L748" s="21"/>
      <c r="M748" s="20">
        <v>2345413.15</v>
      </c>
      <c r="N748" s="20">
        <v>2345413.15</v>
      </c>
      <c r="O748" s="20">
        <v>1287730.69</v>
      </c>
      <c r="P748" s="22">
        <v>35.44397763233068</v>
      </c>
      <c r="Q748" s="22">
        <v>64.55602236766931</v>
      </c>
    </row>
    <row r="749" spans="1:17" ht="12.75" customHeight="1">
      <c r="A749" s="23"/>
      <c r="B749" s="24"/>
      <c r="C749" s="24"/>
      <c r="D749" s="24"/>
      <c r="E749" s="23"/>
      <c r="F749" s="20">
        <v>700119.06</v>
      </c>
      <c r="G749" s="20">
        <v>0</v>
      </c>
      <c r="H749" s="20">
        <v>0</v>
      </c>
      <c r="I749" s="21">
        <v>0</v>
      </c>
      <c r="J749" s="21"/>
      <c r="K749" s="21">
        <v>0</v>
      </c>
      <c r="L749" s="21"/>
      <c r="M749" s="20">
        <v>0</v>
      </c>
      <c r="N749" s="20">
        <v>421.02</v>
      </c>
      <c r="O749" s="20">
        <v>1287730.6899999997</v>
      </c>
      <c r="P749" s="22">
        <v>64.55602236766931</v>
      </c>
      <c r="Q749" s="22">
        <v>100</v>
      </c>
    </row>
    <row r="750" spans="1:17" ht="20.25" customHeight="1">
      <c r="A750" s="23"/>
      <c r="B750" s="24"/>
      <c r="C750" s="24"/>
      <c r="D750" s="24"/>
      <c r="E750" s="23"/>
      <c r="F750" s="23"/>
      <c r="G750" s="23"/>
      <c r="H750" s="23"/>
      <c r="I750" s="24"/>
      <c r="J750" s="24"/>
      <c r="K750" s="24"/>
      <c r="L750" s="24"/>
      <c r="M750" s="23"/>
      <c r="N750" s="23"/>
      <c r="O750" s="23"/>
      <c r="P750" s="23"/>
      <c r="Q750" s="23"/>
    </row>
    <row r="751" spans="1:17" ht="12.75" customHeight="1">
      <c r="A751" s="10" t="s">
        <v>83</v>
      </c>
      <c r="B751" s="11" t="s">
        <v>498</v>
      </c>
      <c r="C751" s="11"/>
      <c r="D751" s="11"/>
      <c r="E751" s="12">
        <f>ROUND(0,2)</f>
        <v>0</v>
      </c>
      <c r="F751" s="12">
        <f aca="true" t="shared" si="382" ref="F751:F752">ROUND(2127.44,2)</f>
        <v>2127.44</v>
      </c>
      <c r="G751" s="12">
        <f>ROUND(2127.44,2)</f>
        <v>2127.44</v>
      </c>
      <c r="H751" s="12">
        <f aca="true" t="shared" si="383" ref="H751:H752">ROUND(0,2)</f>
        <v>0</v>
      </c>
      <c r="I751" s="13">
        <f aca="true" t="shared" si="384" ref="I751:I752">ROUND(0,2)</f>
        <v>0</v>
      </c>
      <c r="J751" s="13"/>
      <c r="K751" s="13">
        <f aca="true" t="shared" si="385" ref="K751:K752">ROUND(0,2)</f>
        <v>0</v>
      </c>
      <c r="L751" s="13"/>
      <c r="M751" s="12">
        <f aca="true" t="shared" si="386" ref="M751:M752">ROUND(0,2)</f>
        <v>0</v>
      </c>
      <c r="N751" s="12">
        <f aca="true" t="shared" si="387" ref="N751:N752">ROUND(0,2)</f>
        <v>0</v>
      </c>
      <c r="O751" s="12">
        <f aca="true" t="shared" si="388" ref="O751:O752">ROUND(2127.44,2)</f>
        <v>2127.44</v>
      </c>
      <c r="P751" s="14">
        <v>100</v>
      </c>
      <c r="Q751" s="14">
        <v>0</v>
      </c>
    </row>
    <row r="752" spans="1:17" ht="12.75" customHeight="1">
      <c r="A752" s="15" t="s">
        <v>485</v>
      </c>
      <c r="B752" s="15"/>
      <c r="C752" s="15"/>
      <c r="D752" s="15"/>
      <c r="E752" s="16" t="s">
        <v>499</v>
      </c>
      <c r="F752" s="17">
        <f t="shared" si="382"/>
        <v>2127.44</v>
      </c>
      <c r="G752" s="17">
        <f>ROUND(0,2)</f>
        <v>0</v>
      </c>
      <c r="H752" s="17">
        <f t="shared" si="383"/>
        <v>0</v>
      </c>
      <c r="I752" s="17">
        <f t="shared" si="384"/>
        <v>0</v>
      </c>
      <c r="J752" s="17"/>
      <c r="K752" s="17">
        <f t="shared" si="385"/>
        <v>0</v>
      </c>
      <c r="L752" s="17"/>
      <c r="M752" s="17">
        <f t="shared" si="386"/>
        <v>0</v>
      </c>
      <c r="N752" s="17">
        <f t="shared" si="387"/>
        <v>0</v>
      </c>
      <c r="O752" s="17">
        <f t="shared" si="388"/>
        <v>2127.44</v>
      </c>
      <c r="P752" s="18">
        <v>0</v>
      </c>
      <c r="Q752" s="18">
        <v>0</v>
      </c>
    </row>
    <row r="753" spans="1:17" ht="12.75" customHeight="1">
      <c r="A753" s="19" t="s">
        <v>500</v>
      </c>
      <c r="B753" s="19"/>
      <c r="C753" s="19"/>
      <c r="D753" s="19"/>
      <c r="E753" s="20">
        <f>SUM('DS1'!$A$190)</f>
        <v>0</v>
      </c>
      <c r="F753" s="20">
        <v>2127.44</v>
      </c>
      <c r="G753" s="20">
        <v>2127.44</v>
      </c>
      <c r="H753" s="20">
        <v>0</v>
      </c>
      <c r="I753" s="21">
        <v>0</v>
      </c>
      <c r="J753" s="21"/>
      <c r="K753" s="21">
        <v>0</v>
      </c>
      <c r="L753" s="21"/>
      <c r="M753" s="20">
        <v>0</v>
      </c>
      <c r="N753" s="20">
        <v>0</v>
      </c>
      <c r="O753" s="20">
        <v>2127.44</v>
      </c>
      <c r="P753" s="22">
        <v>100</v>
      </c>
      <c r="Q753" s="22">
        <v>0</v>
      </c>
    </row>
    <row r="754" spans="1:17" ht="12.75" customHeight="1">
      <c r="A754" s="23"/>
      <c r="B754" s="24"/>
      <c r="C754" s="24"/>
      <c r="D754" s="24"/>
      <c r="E754" s="23"/>
      <c r="F754" s="20">
        <v>2127.44</v>
      </c>
      <c r="G754" s="20">
        <v>0</v>
      </c>
      <c r="H754" s="20">
        <v>0</v>
      </c>
      <c r="I754" s="21">
        <v>0</v>
      </c>
      <c r="J754" s="21"/>
      <c r="K754" s="21">
        <v>0</v>
      </c>
      <c r="L754" s="21"/>
      <c r="M754" s="20">
        <v>0</v>
      </c>
      <c r="N754" s="20">
        <v>0</v>
      </c>
      <c r="O754" s="20">
        <v>2127.44</v>
      </c>
      <c r="P754" s="22">
        <v>0</v>
      </c>
      <c r="Q754" s="22">
        <v>0</v>
      </c>
    </row>
    <row r="755" spans="1:17" ht="20.25" customHeight="1">
      <c r="A755" s="23"/>
      <c r="B755" s="24"/>
      <c r="C755" s="24"/>
      <c r="D755" s="24"/>
      <c r="E755" s="23"/>
      <c r="F755" s="23"/>
      <c r="G755" s="23"/>
      <c r="H755" s="23"/>
      <c r="I755" s="24"/>
      <c r="J755" s="24"/>
      <c r="K755" s="24"/>
      <c r="L755" s="24"/>
      <c r="M755" s="23"/>
      <c r="N755" s="23"/>
      <c r="O755" s="23"/>
      <c r="P755" s="23"/>
      <c r="Q755" s="23"/>
    </row>
    <row r="756" spans="1:17" ht="12.75" customHeight="1">
      <c r="A756" s="10"/>
      <c r="B756" s="11" t="s">
        <v>501</v>
      </c>
      <c r="C756" s="11"/>
      <c r="D756" s="11"/>
      <c r="E756" s="12">
        <f>ROUND(0,2)</f>
        <v>0</v>
      </c>
      <c r="F756" s="12">
        <f>ROUND(2915,2)</f>
        <v>2915</v>
      </c>
      <c r="G756" s="12">
        <f>ROUND(2915,2)</f>
        <v>2915</v>
      </c>
      <c r="H756" s="12">
        <f aca="true" t="shared" si="389" ref="H756:H757">ROUND(0,2)</f>
        <v>0</v>
      </c>
      <c r="I756" s="13">
        <f aca="true" t="shared" si="390" ref="I756:I757">ROUND(0,2)</f>
        <v>0</v>
      </c>
      <c r="J756" s="13"/>
      <c r="K756" s="13">
        <f aca="true" t="shared" si="391" ref="K756:K757">ROUND(0,2)</f>
        <v>0</v>
      </c>
      <c r="L756" s="13"/>
      <c r="M756" s="12">
        <f aca="true" t="shared" si="392" ref="M756:M757">ROUND(0,2)</f>
        <v>0</v>
      </c>
      <c r="N756" s="12">
        <f aca="true" t="shared" si="393" ref="N756:N757">ROUND(0,2)</f>
        <v>0</v>
      </c>
      <c r="O756" s="12">
        <f aca="true" t="shared" si="394" ref="O756:O757">ROUND(2915,2)</f>
        <v>2915</v>
      </c>
      <c r="P756" s="14">
        <v>100</v>
      </c>
      <c r="Q756" s="14">
        <v>0</v>
      </c>
    </row>
    <row r="757" spans="1:17" ht="12.75" customHeight="1">
      <c r="A757" s="15" t="s">
        <v>502</v>
      </c>
      <c r="B757" s="15"/>
      <c r="C757" s="15"/>
      <c r="D757" s="15"/>
      <c r="E757" s="16" t="s">
        <v>501</v>
      </c>
      <c r="F757" s="17">
        <f>ROUND(0,2)</f>
        <v>0</v>
      </c>
      <c r="G757" s="17">
        <f>ROUND(0,2)</f>
        <v>0</v>
      </c>
      <c r="H757" s="17">
        <f t="shared" si="389"/>
        <v>0</v>
      </c>
      <c r="I757" s="17">
        <f t="shared" si="390"/>
        <v>0</v>
      </c>
      <c r="J757" s="17"/>
      <c r="K757" s="17">
        <f t="shared" si="391"/>
        <v>0</v>
      </c>
      <c r="L757" s="17"/>
      <c r="M757" s="17">
        <f t="shared" si="392"/>
        <v>0</v>
      </c>
      <c r="N757" s="17">
        <f t="shared" si="393"/>
        <v>0</v>
      </c>
      <c r="O757" s="17">
        <f t="shared" si="394"/>
        <v>2915</v>
      </c>
      <c r="P757" s="18">
        <v>0</v>
      </c>
      <c r="Q757" s="18">
        <v>0</v>
      </c>
    </row>
    <row r="758" spans="1:17" ht="12.75" customHeight="1">
      <c r="A758" s="10"/>
      <c r="B758" s="11" t="s">
        <v>503</v>
      </c>
      <c r="C758" s="11"/>
      <c r="D758" s="11"/>
      <c r="E758" s="12">
        <f>ROUND(250000,2)</f>
        <v>250000</v>
      </c>
      <c r="F758" s="12">
        <f>ROUND(-135000,2)</f>
        <v>-135000</v>
      </c>
      <c r="G758" s="12">
        <f>ROUND(115000,2)</f>
        <v>115000</v>
      </c>
      <c r="H758" s="12">
        <f>ROUND(89999.9,2)</f>
        <v>89999.9</v>
      </c>
      <c r="I758" s="13">
        <f>ROUND(89999.9,2)</f>
        <v>89999.9</v>
      </c>
      <c r="J758" s="13"/>
      <c r="K758" s="13">
        <f>ROUND(89999.9,2)</f>
        <v>89999.9</v>
      </c>
      <c r="L758" s="13"/>
      <c r="M758" s="12">
        <f>ROUND(89999.9,2)</f>
        <v>89999.9</v>
      </c>
      <c r="N758" s="12">
        <f>ROUND(83147,2)</f>
        <v>83147</v>
      </c>
      <c r="O758" s="12">
        <f>ROUND(25000.1,2)</f>
        <v>25000.1</v>
      </c>
      <c r="P758" s="14">
        <v>21.739217391304347</v>
      </c>
      <c r="Q758" s="14">
        <v>78.26078260869565</v>
      </c>
    </row>
    <row r="759" spans="1:17" ht="12.75" customHeight="1">
      <c r="A759" s="15" t="s">
        <v>504</v>
      </c>
      <c r="B759" s="15"/>
      <c r="C759" s="15"/>
      <c r="D759" s="15"/>
      <c r="E759" s="16" t="s">
        <v>505</v>
      </c>
      <c r="F759" s="17">
        <f>ROUND(0,2)</f>
        <v>0</v>
      </c>
      <c r="G759" s="17">
        <f>ROUND(0,2)</f>
        <v>0</v>
      </c>
      <c r="H759" s="17">
        <f>ROUND(0,2)</f>
        <v>0</v>
      </c>
      <c r="I759" s="17">
        <f>ROUND(0,2)</f>
        <v>0</v>
      </c>
      <c r="J759" s="17"/>
      <c r="K759" s="17">
        <f>ROUND(0,2)</f>
        <v>0</v>
      </c>
      <c r="L759" s="17"/>
      <c r="M759" s="17">
        <f>ROUND(6852.89999999999,2)</f>
        <v>6852.9</v>
      </c>
      <c r="N759" s="17">
        <f>ROUND(0,2)</f>
        <v>0</v>
      </c>
      <c r="O759" s="17">
        <f>ROUND(25000.1,2)</f>
        <v>25000.1</v>
      </c>
      <c r="P759" s="18">
        <v>35.999959999999994</v>
      </c>
      <c r="Q759" s="18">
        <v>92.3856582062869</v>
      </c>
    </row>
    <row r="760" spans="1:17" ht="12.75" customHeight="1">
      <c r="A760" s="10"/>
      <c r="B760" s="11" t="s">
        <v>506</v>
      </c>
      <c r="C760" s="11"/>
      <c r="D760" s="11"/>
      <c r="E760" s="12">
        <f>ROUND(0,2)</f>
        <v>0</v>
      </c>
      <c r="F760" s="12">
        <f>ROUND(600,2)</f>
        <v>600</v>
      </c>
      <c r="G760" s="12">
        <f>ROUND(600,2)</f>
        <v>600</v>
      </c>
      <c r="H760" s="12">
        <f>ROUND(560.63,2)</f>
        <v>560.63</v>
      </c>
      <c r="I760" s="13">
        <f>ROUND(560.63,2)</f>
        <v>560.63</v>
      </c>
      <c r="J760" s="13"/>
      <c r="K760" s="13">
        <f>ROUND(560.63,2)</f>
        <v>560.63</v>
      </c>
      <c r="L760" s="13"/>
      <c r="M760" s="12">
        <f>ROUND(560.63,2)</f>
        <v>560.63</v>
      </c>
      <c r="N760" s="12">
        <f>ROUND(560.63,2)</f>
        <v>560.63</v>
      </c>
      <c r="O760" s="12">
        <f>ROUND(39.37,2)</f>
        <v>39.37</v>
      </c>
      <c r="P760" s="14">
        <v>6.561666666666666</v>
      </c>
      <c r="Q760" s="14">
        <v>93.43833333333333</v>
      </c>
    </row>
    <row r="761" spans="1:17" ht="12.75" customHeight="1">
      <c r="A761" s="15" t="s">
        <v>507</v>
      </c>
      <c r="B761" s="15"/>
      <c r="C761" s="15"/>
      <c r="D761" s="15"/>
      <c r="E761" s="16" t="s">
        <v>506</v>
      </c>
      <c r="F761" s="17">
        <f>ROUND(0,2)</f>
        <v>0</v>
      </c>
      <c r="G761" s="17">
        <f>ROUND(0,2)</f>
        <v>0</v>
      </c>
      <c r="H761" s="17">
        <f>ROUND(0,2)</f>
        <v>0</v>
      </c>
      <c r="I761" s="17">
        <f>ROUND(0,2)</f>
        <v>0</v>
      </c>
      <c r="J761" s="17"/>
      <c r="K761" s="17">
        <f>ROUND(0,2)</f>
        <v>0</v>
      </c>
      <c r="L761" s="17"/>
      <c r="M761" s="17">
        <f>ROUND(0,2)</f>
        <v>0</v>
      </c>
      <c r="N761" s="17">
        <f>ROUND(0,2)</f>
        <v>0</v>
      </c>
      <c r="O761" s="17">
        <f>ROUND(39.37,2)</f>
        <v>39.37</v>
      </c>
      <c r="P761" s="18">
        <v>93.43833333333333</v>
      </c>
      <c r="Q761" s="18">
        <v>100</v>
      </c>
    </row>
    <row r="762" spans="1:17" ht="12.75" customHeight="1">
      <c r="A762" s="10"/>
      <c r="B762" s="11" t="s">
        <v>508</v>
      </c>
      <c r="C762" s="11"/>
      <c r="D762" s="11"/>
      <c r="E762" s="12">
        <f>ROUND(0,2)</f>
        <v>0</v>
      </c>
      <c r="F762" s="12">
        <f>ROUND(3000,2)</f>
        <v>3000</v>
      </c>
      <c r="G762" s="12">
        <f>ROUND(3000,2)</f>
        <v>3000</v>
      </c>
      <c r="H762" s="12">
        <f>ROUND(2044.28,2)</f>
        <v>2044.28</v>
      </c>
      <c r="I762" s="13">
        <f>ROUND(2044.28,2)</f>
        <v>2044.28</v>
      </c>
      <c r="J762" s="13"/>
      <c r="K762" s="13">
        <f>ROUND(2044.28,2)</f>
        <v>2044.28</v>
      </c>
      <c r="L762" s="13"/>
      <c r="M762" s="12">
        <f>ROUND(2044.28,2)</f>
        <v>2044.28</v>
      </c>
      <c r="N762" s="12">
        <f>ROUND(2044.28,2)</f>
        <v>2044.28</v>
      </c>
      <c r="O762" s="12">
        <f aca="true" t="shared" si="395" ref="O762:O763">ROUND(955.72,2)</f>
        <v>955.72</v>
      </c>
      <c r="P762" s="14">
        <v>31.857333333333333</v>
      </c>
      <c r="Q762" s="14">
        <v>68.14266666666666</v>
      </c>
    </row>
    <row r="763" spans="1:17" ht="12.75" customHeight="1">
      <c r="A763" s="15" t="s">
        <v>509</v>
      </c>
      <c r="B763" s="15"/>
      <c r="C763" s="15"/>
      <c r="D763" s="15"/>
      <c r="E763" s="16" t="s">
        <v>508</v>
      </c>
      <c r="F763" s="17">
        <f>ROUND(0,2)</f>
        <v>0</v>
      </c>
      <c r="G763" s="17">
        <f>ROUND(0,2)</f>
        <v>0</v>
      </c>
      <c r="H763" s="17">
        <f>ROUND(0,2)</f>
        <v>0</v>
      </c>
      <c r="I763" s="17">
        <f>ROUND(0,2)</f>
        <v>0</v>
      </c>
      <c r="J763" s="17"/>
      <c r="K763" s="17">
        <f>ROUND(0,2)</f>
        <v>0</v>
      </c>
      <c r="L763" s="17"/>
      <c r="M763" s="17">
        <f>ROUND(0,2)</f>
        <v>0</v>
      </c>
      <c r="N763" s="17">
        <f>ROUND(0,2)</f>
        <v>0</v>
      </c>
      <c r="O763" s="17">
        <f t="shared" si="395"/>
        <v>955.72</v>
      </c>
      <c r="P763" s="18">
        <v>68.14266666666666</v>
      </c>
      <c r="Q763" s="18">
        <v>100</v>
      </c>
    </row>
    <row r="764" spans="1:17" ht="12.75" customHeight="1">
      <c r="A764" s="10"/>
      <c r="B764" s="11" t="s">
        <v>510</v>
      </c>
      <c r="C764" s="11"/>
      <c r="D764" s="11"/>
      <c r="E764" s="12">
        <f>ROUND(0,2)</f>
        <v>0</v>
      </c>
      <c r="F764" s="12">
        <f>ROUND(3169.93,2)</f>
        <v>3169.93</v>
      </c>
      <c r="G764" s="12">
        <f>ROUND(3169.93,2)</f>
        <v>3169.93</v>
      </c>
      <c r="H764" s="12">
        <f>ROUND(903.14,2)</f>
        <v>903.14</v>
      </c>
      <c r="I764" s="13">
        <f>ROUND(903.14,2)</f>
        <v>903.14</v>
      </c>
      <c r="J764" s="13"/>
      <c r="K764" s="13">
        <f>ROUND(903.14,2)</f>
        <v>903.14</v>
      </c>
      <c r="L764" s="13"/>
      <c r="M764" s="12">
        <f>ROUND(903.14,2)</f>
        <v>903.14</v>
      </c>
      <c r="N764" s="12">
        <f>ROUND(903.14,2)</f>
        <v>903.14</v>
      </c>
      <c r="O764" s="12">
        <f aca="true" t="shared" si="396" ref="O764:O765">ROUND(2266.79,2)</f>
        <v>2266.79</v>
      </c>
      <c r="P764" s="14">
        <v>71.50915004432275</v>
      </c>
      <c r="Q764" s="14">
        <v>28.490849955677255</v>
      </c>
    </row>
    <row r="765" spans="1:17" ht="12.75" customHeight="1">
      <c r="A765" s="15" t="s">
        <v>511</v>
      </c>
      <c r="B765" s="15"/>
      <c r="C765" s="15"/>
      <c r="D765" s="15"/>
      <c r="E765" s="16" t="s">
        <v>510</v>
      </c>
      <c r="F765" s="17">
        <f>ROUND(0,2)</f>
        <v>0</v>
      </c>
      <c r="G765" s="17">
        <f>ROUND(0,2)</f>
        <v>0</v>
      </c>
      <c r="H765" s="17">
        <f>ROUND(0,2)</f>
        <v>0</v>
      </c>
      <c r="I765" s="17">
        <f>ROUND(0,2)</f>
        <v>0</v>
      </c>
      <c r="J765" s="17"/>
      <c r="K765" s="17">
        <f>ROUND(0,2)</f>
        <v>0</v>
      </c>
      <c r="L765" s="17"/>
      <c r="M765" s="17">
        <f>ROUND(0,2)</f>
        <v>0</v>
      </c>
      <c r="N765" s="17">
        <f>ROUND(0,2)</f>
        <v>0</v>
      </c>
      <c r="O765" s="17">
        <f t="shared" si="396"/>
        <v>2266.79</v>
      </c>
      <c r="P765" s="18">
        <v>28.490849955677255</v>
      </c>
      <c r="Q765" s="18">
        <v>100</v>
      </c>
    </row>
    <row r="766" spans="1:17" ht="12.75" customHeight="1">
      <c r="A766" s="10"/>
      <c r="B766" s="11" t="s">
        <v>512</v>
      </c>
      <c r="C766" s="11"/>
      <c r="D766" s="11"/>
      <c r="E766" s="12">
        <f>ROUND(0,2)</f>
        <v>0</v>
      </c>
      <c r="F766" s="12">
        <f>ROUND(10000,2)</f>
        <v>10000</v>
      </c>
      <c r="G766" s="12">
        <f>ROUND(10000,2)</f>
        <v>10000</v>
      </c>
      <c r="H766" s="12">
        <f>ROUND(251.78,2)</f>
        <v>251.78</v>
      </c>
      <c r="I766" s="13">
        <f>ROUND(251.78,2)</f>
        <v>251.78</v>
      </c>
      <c r="J766" s="13"/>
      <c r="K766" s="13">
        <f>ROUND(251.78,2)</f>
        <v>251.78</v>
      </c>
      <c r="L766" s="13"/>
      <c r="M766" s="12">
        <f>ROUND(251.78,2)</f>
        <v>251.78</v>
      </c>
      <c r="N766" s="12">
        <f>ROUND(251.78,2)</f>
        <v>251.78</v>
      </c>
      <c r="O766" s="12">
        <f aca="true" t="shared" si="397" ref="O766:O767">ROUND(9748.22,2)</f>
        <v>9748.22</v>
      </c>
      <c r="P766" s="14">
        <v>97.48219999999999</v>
      </c>
      <c r="Q766" s="14">
        <v>2.5178</v>
      </c>
    </row>
    <row r="767" spans="1:17" ht="12.75" customHeight="1">
      <c r="A767" s="15" t="s">
        <v>513</v>
      </c>
      <c r="B767" s="15"/>
      <c r="C767" s="15"/>
      <c r="D767" s="15"/>
      <c r="E767" s="16" t="s">
        <v>512</v>
      </c>
      <c r="F767" s="17">
        <f>ROUND(0,2)</f>
        <v>0</v>
      </c>
      <c r="G767" s="17">
        <f>ROUND(0,2)</f>
        <v>0</v>
      </c>
      <c r="H767" s="17">
        <f>ROUND(0,2)</f>
        <v>0</v>
      </c>
      <c r="I767" s="17">
        <f>ROUND(0,2)</f>
        <v>0</v>
      </c>
      <c r="J767" s="17"/>
      <c r="K767" s="17">
        <f>ROUND(0,2)</f>
        <v>0</v>
      </c>
      <c r="L767" s="17"/>
      <c r="M767" s="17">
        <f>ROUND(0,2)</f>
        <v>0</v>
      </c>
      <c r="N767" s="17">
        <f>ROUND(0,2)</f>
        <v>0</v>
      </c>
      <c r="O767" s="17">
        <f t="shared" si="397"/>
        <v>9748.22</v>
      </c>
      <c r="P767" s="18">
        <v>2.5178</v>
      </c>
      <c r="Q767" s="18">
        <v>100</v>
      </c>
    </row>
    <row r="768" spans="1:17" ht="12.75" customHeight="1">
      <c r="A768" s="10"/>
      <c r="B768" s="11" t="s">
        <v>514</v>
      </c>
      <c r="C768" s="11"/>
      <c r="D768" s="11"/>
      <c r="E768" s="12">
        <f>ROUND(0,2)</f>
        <v>0</v>
      </c>
      <c r="F768" s="12">
        <f>ROUND(28211,2)</f>
        <v>28211</v>
      </c>
      <c r="G768" s="12">
        <f>ROUND(28211,2)</f>
        <v>28211</v>
      </c>
      <c r="H768" s="12">
        <f>ROUND(17827.74,2)</f>
        <v>17827.74</v>
      </c>
      <c r="I768" s="13">
        <f>ROUND(17827.74,2)</f>
        <v>17827.74</v>
      </c>
      <c r="J768" s="13"/>
      <c r="K768" s="13">
        <f>ROUND(17827.74,2)</f>
        <v>17827.74</v>
      </c>
      <c r="L768" s="13"/>
      <c r="M768" s="12">
        <f>ROUND(17827.74,2)</f>
        <v>17827.74</v>
      </c>
      <c r="N768" s="12">
        <f>ROUND(17321.34,2)</f>
        <v>17321.34</v>
      </c>
      <c r="O768" s="12">
        <f>ROUND(8509.48,2)</f>
        <v>8509.48</v>
      </c>
      <c r="P768" s="14">
        <v>30.16369501258374</v>
      </c>
      <c r="Q768" s="14">
        <v>63.194285916840954</v>
      </c>
    </row>
    <row r="769" spans="1:17" ht="12.75" customHeight="1">
      <c r="A769" s="15" t="s">
        <v>515</v>
      </c>
      <c r="B769" s="15"/>
      <c r="C769" s="15"/>
      <c r="D769" s="15"/>
      <c r="E769" s="16" t="s">
        <v>505</v>
      </c>
      <c r="F769" s="17">
        <f>ROUND(0,2)</f>
        <v>0</v>
      </c>
      <c r="G769" s="17">
        <f>ROUND(1873.78,2)</f>
        <v>1873.78</v>
      </c>
      <c r="H769" s="17">
        <f aca="true" t="shared" si="398" ref="H769:H775">ROUND(0,2)</f>
        <v>0</v>
      </c>
      <c r="I769" s="17">
        <f aca="true" t="shared" si="399" ref="I769:I775">ROUND(0,2)</f>
        <v>0</v>
      </c>
      <c r="J769" s="17"/>
      <c r="K769" s="17">
        <f aca="true" t="shared" si="400" ref="K769:K775">ROUND(0,2)</f>
        <v>0</v>
      </c>
      <c r="L769" s="17"/>
      <c r="M769" s="17">
        <f>ROUND(506.400000000001,2)</f>
        <v>506.4</v>
      </c>
      <c r="N769" s="17">
        <f aca="true" t="shared" si="401" ref="N769:N775">ROUND(0,2)</f>
        <v>0</v>
      </c>
      <c r="O769" s="17">
        <f>ROUND(10383.26,2)</f>
        <v>10383.26</v>
      </c>
      <c r="P769" s="18">
        <v>63.194285916840954</v>
      </c>
      <c r="Q769" s="18">
        <v>97.15948291819377</v>
      </c>
    </row>
    <row r="770" spans="1:17" ht="12.75" customHeight="1">
      <c r="A770" s="10"/>
      <c r="B770" s="11" t="s">
        <v>516</v>
      </c>
      <c r="C770" s="11"/>
      <c r="D770" s="11"/>
      <c r="E770" s="12">
        <f>ROUND(0,2)</f>
        <v>0</v>
      </c>
      <c r="F770" s="12">
        <f>ROUND(719.99,2)</f>
        <v>719.99</v>
      </c>
      <c r="G770" s="12">
        <f>ROUND(719.99,2)</f>
        <v>719.99</v>
      </c>
      <c r="H770" s="12">
        <f t="shared" si="398"/>
        <v>0</v>
      </c>
      <c r="I770" s="13">
        <f t="shared" si="399"/>
        <v>0</v>
      </c>
      <c r="J770" s="13"/>
      <c r="K770" s="13">
        <f t="shared" si="400"/>
        <v>0</v>
      </c>
      <c r="L770" s="13"/>
      <c r="M770" s="12">
        <f aca="true" t="shared" si="402" ref="M770:M775">ROUND(0,2)</f>
        <v>0</v>
      </c>
      <c r="N770" s="12">
        <f t="shared" si="401"/>
        <v>0</v>
      </c>
      <c r="O770" s="12">
        <f aca="true" t="shared" si="403" ref="O770:O771">ROUND(719.99,2)</f>
        <v>719.99</v>
      </c>
      <c r="P770" s="14">
        <v>100</v>
      </c>
      <c r="Q770" s="14">
        <v>0</v>
      </c>
    </row>
    <row r="771" spans="1:17" ht="12.75" customHeight="1">
      <c r="A771" s="15" t="s">
        <v>517</v>
      </c>
      <c r="B771" s="15"/>
      <c r="C771" s="15"/>
      <c r="D771" s="15"/>
      <c r="E771" s="16" t="s">
        <v>516</v>
      </c>
      <c r="F771" s="17">
        <f>ROUND(0,2)</f>
        <v>0</v>
      </c>
      <c r="G771" s="17">
        <f>ROUND(0,2)</f>
        <v>0</v>
      </c>
      <c r="H771" s="17">
        <f t="shared" si="398"/>
        <v>0</v>
      </c>
      <c r="I771" s="17">
        <f t="shared" si="399"/>
        <v>0</v>
      </c>
      <c r="J771" s="17"/>
      <c r="K771" s="17">
        <f t="shared" si="400"/>
        <v>0</v>
      </c>
      <c r="L771" s="17"/>
      <c r="M771" s="17">
        <f t="shared" si="402"/>
        <v>0</v>
      </c>
      <c r="N771" s="17">
        <f t="shared" si="401"/>
        <v>0</v>
      </c>
      <c r="O771" s="17">
        <f t="shared" si="403"/>
        <v>719.99</v>
      </c>
      <c r="P771" s="18">
        <v>0</v>
      </c>
      <c r="Q771" s="18">
        <v>0</v>
      </c>
    </row>
    <row r="772" spans="1:17" ht="12.75" customHeight="1">
      <c r="A772" s="10"/>
      <c r="B772" s="11" t="s">
        <v>518</v>
      </c>
      <c r="C772" s="11"/>
      <c r="D772" s="11"/>
      <c r="E772" s="12">
        <f>ROUND(0,2)</f>
        <v>0</v>
      </c>
      <c r="F772" s="12">
        <f>ROUND(3000,2)</f>
        <v>3000</v>
      </c>
      <c r="G772" s="12">
        <f>ROUND(3000,2)</f>
        <v>3000</v>
      </c>
      <c r="H772" s="12">
        <f t="shared" si="398"/>
        <v>0</v>
      </c>
      <c r="I772" s="13">
        <f t="shared" si="399"/>
        <v>0</v>
      </c>
      <c r="J772" s="13"/>
      <c r="K772" s="13">
        <f t="shared" si="400"/>
        <v>0</v>
      </c>
      <c r="L772" s="13"/>
      <c r="M772" s="12">
        <f t="shared" si="402"/>
        <v>0</v>
      </c>
      <c r="N772" s="12">
        <f t="shared" si="401"/>
        <v>0</v>
      </c>
      <c r="O772" s="12">
        <f aca="true" t="shared" si="404" ref="O772:O773">ROUND(3000,2)</f>
        <v>3000</v>
      </c>
      <c r="P772" s="14">
        <v>100</v>
      </c>
      <c r="Q772" s="14">
        <v>0</v>
      </c>
    </row>
    <row r="773" spans="1:17" ht="12.75" customHeight="1">
      <c r="A773" s="15" t="s">
        <v>519</v>
      </c>
      <c r="B773" s="15"/>
      <c r="C773" s="15"/>
      <c r="D773" s="15"/>
      <c r="E773" s="16" t="s">
        <v>518</v>
      </c>
      <c r="F773" s="17">
        <f>ROUND(0,2)</f>
        <v>0</v>
      </c>
      <c r="G773" s="17">
        <f>ROUND(0,2)</f>
        <v>0</v>
      </c>
      <c r="H773" s="17">
        <f t="shared" si="398"/>
        <v>0</v>
      </c>
      <c r="I773" s="17">
        <f t="shared" si="399"/>
        <v>0</v>
      </c>
      <c r="J773" s="17"/>
      <c r="K773" s="17">
        <f t="shared" si="400"/>
        <v>0</v>
      </c>
      <c r="L773" s="17"/>
      <c r="M773" s="17">
        <f t="shared" si="402"/>
        <v>0</v>
      </c>
      <c r="N773" s="17">
        <f t="shared" si="401"/>
        <v>0</v>
      </c>
      <c r="O773" s="17">
        <f t="shared" si="404"/>
        <v>3000</v>
      </c>
      <c r="P773" s="18">
        <v>0</v>
      </c>
      <c r="Q773" s="18">
        <v>0</v>
      </c>
    </row>
    <row r="774" spans="1:17" ht="12.75" customHeight="1">
      <c r="A774" s="10"/>
      <c r="B774" s="11" t="s">
        <v>520</v>
      </c>
      <c r="C774" s="11"/>
      <c r="D774" s="11"/>
      <c r="E774" s="12">
        <f>ROUND(0,2)</f>
        <v>0</v>
      </c>
      <c r="F774" s="12">
        <f>ROUND(6000,2)</f>
        <v>6000</v>
      </c>
      <c r="G774" s="12">
        <f>ROUND(6000,2)</f>
        <v>6000</v>
      </c>
      <c r="H774" s="12">
        <f t="shared" si="398"/>
        <v>0</v>
      </c>
      <c r="I774" s="13">
        <f t="shared" si="399"/>
        <v>0</v>
      </c>
      <c r="J774" s="13"/>
      <c r="K774" s="13">
        <f t="shared" si="400"/>
        <v>0</v>
      </c>
      <c r="L774" s="13"/>
      <c r="M774" s="12">
        <f t="shared" si="402"/>
        <v>0</v>
      </c>
      <c r="N774" s="12">
        <f t="shared" si="401"/>
        <v>0</v>
      </c>
      <c r="O774" s="12">
        <f aca="true" t="shared" si="405" ref="O774:O775">ROUND(6000,2)</f>
        <v>6000</v>
      </c>
      <c r="P774" s="14">
        <v>100</v>
      </c>
      <c r="Q774" s="14">
        <v>0</v>
      </c>
    </row>
    <row r="775" spans="1:17" ht="12.75" customHeight="1">
      <c r="A775" s="15" t="s">
        <v>521</v>
      </c>
      <c r="B775" s="15"/>
      <c r="C775" s="15"/>
      <c r="D775" s="15"/>
      <c r="E775" s="16" t="s">
        <v>520</v>
      </c>
      <c r="F775" s="17">
        <f>ROUND(0,2)</f>
        <v>0</v>
      </c>
      <c r="G775" s="17">
        <f>ROUND(0,2)</f>
        <v>0</v>
      </c>
      <c r="H775" s="17">
        <f t="shared" si="398"/>
        <v>0</v>
      </c>
      <c r="I775" s="17">
        <f t="shared" si="399"/>
        <v>0</v>
      </c>
      <c r="J775" s="17"/>
      <c r="K775" s="17">
        <f t="shared" si="400"/>
        <v>0</v>
      </c>
      <c r="L775" s="17"/>
      <c r="M775" s="17">
        <f t="shared" si="402"/>
        <v>0</v>
      </c>
      <c r="N775" s="17">
        <f t="shared" si="401"/>
        <v>0</v>
      </c>
      <c r="O775" s="17">
        <f t="shared" si="405"/>
        <v>6000</v>
      </c>
      <c r="P775" s="18">
        <v>0</v>
      </c>
      <c r="Q775" s="18">
        <v>0</v>
      </c>
    </row>
    <row r="776" spans="1:17" ht="12.75" customHeight="1">
      <c r="A776" s="10"/>
      <c r="B776" s="11" t="s">
        <v>522</v>
      </c>
      <c r="C776" s="11"/>
      <c r="D776" s="11"/>
      <c r="E776" s="12">
        <f>ROUND(0,2)</f>
        <v>0</v>
      </c>
      <c r="F776" s="12">
        <f>ROUND(4000,2)</f>
        <v>4000</v>
      </c>
      <c r="G776" s="12">
        <f>ROUND(4000,2)</f>
        <v>4000</v>
      </c>
      <c r="H776" s="12">
        <f>ROUND(2887.72,2)</f>
        <v>2887.72</v>
      </c>
      <c r="I776" s="13">
        <f>ROUND(2887.72,2)</f>
        <v>2887.72</v>
      </c>
      <c r="J776" s="13"/>
      <c r="K776" s="13">
        <f>ROUND(2887.72,2)</f>
        <v>2887.72</v>
      </c>
      <c r="L776" s="13"/>
      <c r="M776" s="12">
        <f>ROUND(2887.72,2)</f>
        <v>2887.72</v>
      </c>
      <c r="N776" s="12">
        <f>ROUND(2887.72,2)</f>
        <v>2887.72</v>
      </c>
      <c r="O776" s="12">
        <f>ROUND(1112.28,2)</f>
        <v>1112.28</v>
      </c>
      <c r="P776" s="14">
        <v>27.807</v>
      </c>
      <c r="Q776" s="14">
        <v>72.193</v>
      </c>
    </row>
    <row r="777" spans="1:17" ht="12.75" customHeight="1">
      <c r="A777" s="15" t="s">
        <v>523</v>
      </c>
      <c r="B777" s="15"/>
      <c r="C777" s="15"/>
      <c r="D777" s="15"/>
      <c r="E777" s="16" t="s">
        <v>522</v>
      </c>
      <c r="F777" s="17">
        <f>ROUND(0,2)</f>
        <v>0</v>
      </c>
      <c r="G777" s="17">
        <f>ROUND(0,2)</f>
        <v>0</v>
      </c>
      <c r="H777" s="17">
        <f>ROUND(0,2)</f>
        <v>0</v>
      </c>
      <c r="I777" s="17">
        <f>ROUND(0,2)</f>
        <v>0</v>
      </c>
      <c r="J777" s="17"/>
      <c r="K777" s="17">
        <f>ROUND(0,2)</f>
        <v>0</v>
      </c>
      <c r="L777" s="17"/>
      <c r="M777" s="17">
        <f>ROUND(0,2)</f>
        <v>0</v>
      </c>
      <c r="N777" s="17">
        <f>ROUND(0,2)</f>
        <v>0</v>
      </c>
      <c r="O777" s="17">
        <f>ROUND(1112.28,2)</f>
        <v>1112.28</v>
      </c>
      <c r="P777" s="18">
        <v>72.193</v>
      </c>
      <c r="Q777" s="18">
        <v>100</v>
      </c>
    </row>
    <row r="778" spans="1:17" ht="12.75" customHeight="1">
      <c r="A778" s="10" t="s">
        <v>83</v>
      </c>
      <c r="B778" s="11" t="s">
        <v>524</v>
      </c>
      <c r="C778" s="11"/>
      <c r="D778" s="11"/>
      <c r="E778" s="12">
        <f>ROUND(0,2)</f>
        <v>0</v>
      </c>
      <c r="F778" s="12">
        <f aca="true" t="shared" si="406" ref="F778:F779">ROUND(3375.98,2)</f>
        <v>3375.98</v>
      </c>
      <c r="G778" s="12">
        <f>ROUND(3375.98,2)</f>
        <v>3375.98</v>
      </c>
      <c r="H778" s="12">
        <f>ROUND(811.02,2)</f>
        <v>811.02</v>
      </c>
      <c r="I778" s="13">
        <f>ROUND(811.02,2)</f>
        <v>811.02</v>
      </c>
      <c r="J778" s="13"/>
      <c r="K778" s="13">
        <f>ROUND(811.02,2)</f>
        <v>811.02</v>
      </c>
      <c r="L778" s="13"/>
      <c r="M778" s="12">
        <f>ROUND(811.02,2)</f>
        <v>811.02</v>
      </c>
      <c r="N778" s="12">
        <f>ROUND(811.02,2)</f>
        <v>811.02</v>
      </c>
      <c r="O778" s="12">
        <f aca="true" t="shared" si="407" ref="O778:O779">ROUND(2564.96,2)</f>
        <v>2564.96</v>
      </c>
      <c r="P778" s="14">
        <v>75.97675341678564</v>
      </c>
      <c r="Q778" s="14">
        <v>24.023246583214355</v>
      </c>
    </row>
    <row r="779" spans="1:17" ht="12.75" customHeight="1">
      <c r="A779" s="15" t="s">
        <v>496</v>
      </c>
      <c r="B779" s="15"/>
      <c r="C779" s="15"/>
      <c r="D779" s="15"/>
      <c r="E779" s="16" t="s">
        <v>525</v>
      </c>
      <c r="F779" s="17">
        <f t="shared" si="406"/>
        <v>3375.98</v>
      </c>
      <c r="G779" s="17">
        <f>ROUND(0,2)</f>
        <v>0</v>
      </c>
      <c r="H779" s="17">
        <f>ROUND(0,2)</f>
        <v>0</v>
      </c>
      <c r="I779" s="17">
        <f>ROUND(0,2)</f>
        <v>0</v>
      </c>
      <c r="J779" s="17"/>
      <c r="K779" s="17">
        <f>ROUND(0,2)</f>
        <v>0</v>
      </c>
      <c r="L779" s="17"/>
      <c r="M779" s="17">
        <f>ROUND(0,2)</f>
        <v>0</v>
      </c>
      <c r="N779" s="17">
        <f>ROUND(0,2)</f>
        <v>0</v>
      </c>
      <c r="O779" s="17">
        <f t="shared" si="407"/>
        <v>2564.96</v>
      </c>
      <c r="P779" s="18">
        <v>24.023246583214355</v>
      </c>
      <c r="Q779" s="18">
        <v>100</v>
      </c>
    </row>
    <row r="780" spans="1:17" ht="12.75" customHeight="1">
      <c r="A780" s="10" t="s">
        <v>83</v>
      </c>
      <c r="B780" s="11" t="s">
        <v>526</v>
      </c>
      <c r="C780" s="11"/>
      <c r="D780" s="11"/>
      <c r="E780" s="12">
        <f>ROUND(0,2)</f>
        <v>0</v>
      </c>
      <c r="F780" s="12">
        <f aca="true" t="shared" si="408" ref="F780:F781">ROUND(890.16,2)</f>
        <v>890.16</v>
      </c>
      <c r="G780" s="12">
        <f>ROUND(890.16,2)</f>
        <v>890.16</v>
      </c>
      <c r="H780" s="12">
        <f>ROUND(222.48,2)</f>
        <v>222.48</v>
      </c>
      <c r="I780" s="13">
        <f>ROUND(222.48,2)</f>
        <v>222.48</v>
      </c>
      <c r="J780" s="13"/>
      <c r="K780" s="13">
        <f>ROUND(222.48,2)</f>
        <v>222.48</v>
      </c>
      <c r="L780" s="13"/>
      <c r="M780" s="12">
        <f>ROUND(222.48,2)</f>
        <v>222.48</v>
      </c>
      <c r="N780" s="12">
        <f>ROUND(222.48,2)</f>
        <v>222.48</v>
      </c>
      <c r="O780" s="12">
        <f aca="true" t="shared" si="409" ref="O780:O781">ROUND(667.68,2)</f>
        <v>667.68</v>
      </c>
      <c r="P780" s="14">
        <v>75.00674036128336</v>
      </c>
      <c r="Q780" s="14">
        <v>24.993259638716637</v>
      </c>
    </row>
    <row r="781" spans="1:17" ht="12.75" customHeight="1">
      <c r="A781" s="15" t="s">
        <v>485</v>
      </c>
      <c r="B781" s="15"/>
      <c r="C781" s="15"/>
      <c r="D781" s="15"/>
      <c r="E781" s="16" t="s">
        <v>527</v>
      </c>
      <c r="F781" s="17">
        <f t="shared" si="408"/>
        <v>890.16</v>
      </c>
      <c r="G781" s="17">
        <f>ROUND(0,2)</f>
        <v>0</v>
      </c>
      <c r="H781" s="17">
        <f aca="true" t="shared" si="410" ref="H781:H783">ROUND(0,2)</f>
        <v>0</v>
      </c>
      <c r="I781" s="17">
        <f aca="true" t="shared" si="411" ref="I781:I783">ROUND(0,2)</f>
        <v>0</v>
      </c>
      <c r="J781" s="17"/>
      <c r="K781" s="17">
        <f aca="true" t="shared" si="412" ref="K781:K783">ROUND(0,2)</f>
        <v>0</v>
      </c>
      <c r="L781" s="17"/>
      <c r="M781" s="17">
        <f aca="true" t="shared" si="413" ref="M781:M783">ROUND(0,2)</f>
        <v>0</v>
      </c>
      <c r="N781" s="17">
        <f aca="true" t="shared" si="414" ref="N781:N783">ROUND(0,2)</f>
        <v>0</v>
      </c>
      <c r="O781" s="17">
        <f t="shared" si="409"/>
        <v>667.68</v>
      </c>
      <c r="P781" s="18">
        <v>24.993259638716637</v>
      </c>
      <c r="Q781" s="18">
        <v>100</v>
      </c>
    </row>
    <row r="782" spans="1:17" ht="12.75" customHeight="1">
      <c r="A782" s="10" t="s">
        <v>83</v>
      </c>
      <c r="B782" s="11" t="s">
        <v>528</v>
      </c>
      <c r="C782" s="11"/>
      <c r="D782" s="11"/>
      <c r="E782" s="12">
        <f>ROUND(0,2)</f>
        <v>0</v>
      </c>
      <c r="F782" s="12">
        <f aca="true" t="shared" si="415" ref="F782:F783">ROUND(6349.05,2)</f>
        <v>6349.05</v>
      </c>
      <c r="G782" s="12">
        <f>ROUND(6349.05,2)</f>
        <v>6349.05</v>
      </c>
      <c r="H782" s="12">
        <f t="shared" si="410"/>
        <v>0</v>
      </c>
      <c r="I782" s="13">
        <f t="shared" si="411"/>
        <v>0</v>
      </c>
      <c r="J782" s="13"/>
      <c r="K782" s="13">
        <f t="shared" si="412"/>
        <v>0</v>
      </c>
      <c r="L782" s="13"/>
      <c r="M782" s="12">
        <f t="shared" si="413"/>
        <v>0</v>
      </c>
      <c r="N782" s="12">
        <f t="shared" si="414"/>
        <v>0</v>
      </c>
      <c r="O782" s="12">
        <f aca="true" t="shared" si="416" ref="O782:O783">ROUND(6349.05,2)</f>
        <v>6349.05</v>
      </c>
      <c r="P782" s="14">
        <v>100</v>
      </c>
      <c r="Q782" s="14">
        <v>0</v>
      </c>
    </row>
    <row r="783" spans="1:17" ht="12.75" customHeight="1">
      <c r="A783" s="15" t="s">
        <v>529</v>
      </c>
      <c r="B783" s="15"/>
      <c r="C783" s="15"/>
      <c r="D783" s="15"/>
      <c r="E783" s="16" t="s">
        <v>530</v>
      </c>
      <c r="F783" s="17">
        <f t="shared" si="415"/>
        <v>6349.05</v>
      </c>
      <c r="G783" s="17">
        <f>ROUND(0,2)</f>
        <v>0</v>
      </c>
      <c r="H783" s="17">
        <f t="shared" si="410"/>
        <v>0</v>
      </c>
      <c r="I783" s="17">
        <f t="shared" si="411"/>
        <v>0</v>
      </c>
      <c r="J783" s="17"/>
      <c r="K783" s="17">
        <f t="shared" si="412"/>
        <v>0</v>
      </c>
      <c r="L783" s="17"/>
      <c r="M783" s="17">
        <f t="shared" si="413"/>
        <v>0</v>
      </c>
      <c r="N783" s="17">
        <f t="shared" si="414"/>
        <v>0</v>
      </c>
      <c r="O783" s="17">
        <f t="shared" si="416"/>
        <v>6349.05</v>
      </c>
      <c r="P783" s="18">
        <v>0</v>
      </c>
      <c r="Q783" s="18">
        <v>0</v>
      </c>
    </row>
    <row r="784" spans="1:17" ht="12.75" customHeight="1">
      <c r="A784" s="10" t="s">
        <v>83</v>
      </c>
      <c r="B784" s="11" t="s">
        <v>531</v>
      </c>
      <c r="C784" s="11"/>
      <c r="D784" s="11"/>
      <c r="E784" s="12">
        <f>ROUND(0,2)</f>
        <v>0</v>
      </c>
      <c r="F784" s="12">
        <f aca="true" t="shared" si="417" ref="F784:F785">ROUND(18695.11,2)</f>
        <v>18695.11</v>
      </c>
      <c r="G784" s="12">
        <f>ROUND(18695.11,2)</f>
        <v>18695.11</v>
      </c>
      <c r="H784" s="12">
        <f>ROUND(9915.96,2)</f>
        <v>9915.96</v>
      </c>
      <c r="I784" s="13">
        <f>ROUND(9915.96,2)</f>
        <v>9915.96</v>
      </c>
      <c r="J784" s="13"/>
      <c r="K784" s="13">
        <f>ROUND(9915.96,2)</f>
        <v>9915.96</v>
      </c>
      <c r="L784" s="13"/>
      <c r="M784" s="12">
        <f>ROUND(9915.96,2)</f>
        <v>9915.96</v>
      </c>
      <c r="N784" s="12">
        <f>ROUND(9915.96,2)</f>
        <v>9915.96</v>
      </c>
      <c r="O784" s="12">
        <f>ROUND(8779.15,2)</f>
        <v>8779.15</v>
      </c>
      <c r="P784" s="14">
        <v>46.95960601462093</v>
      </c>
      <c r="Q784" s="14">
        <v>53.040393985379055</v>
      </c>
    </row>
    <row r="785" spans="1:17" ht="12.75" customHeight="1">
      <c r="A785" s="15" t="s">
        <v>532</v>
      </c>
      <c r="B785" s="15"/>
      <c r="C785" s="15"/>
      <c r="D785" s="15"/>
      <c r="E785" s="16" t="s">
        <v>533</v>
      </c>
      <c r="F785" s="17">
        <f t="shared" si="417"/>
        <v>18695.11</v>
      </c>
      <c r="G785" s="17">
        <f>ROUND(0,2)</f>
        <v>0</v>
      </c>
      <c r="H785" s="17">
        <f>ROUND(0,2)</f>
        <v>0</v>
      </c>
      <c r="I785" s="17">
        <f>ROUND(0,2)</f>
        <v>0</v>
      </c>
      <c r="J785" s="17"/>
      <c r="K785" s="17">
        <f>ROUND(0,2)</f>
        <v>0</v>
      </c>
      <c r="L785" s="17"/>
      <c r="M785" s="17">
        <f>ROUND(0,2)</f>
        <v>0</v>
      </c>
      <c r="N785" s="17">
        <f>ROUND(0,2)</f>
        <v>0</v>
      </c>
      <c r="O785" s="17">
        <f>ROUND(8779.15,2)</f>
        <v>8779.15</v>
      </c>
      <c r="P785" s="18">
        <v>53.040393985379055</v>
      </c>
      <c r="Q785" s="18">
        <v>100</v>
      </c>
    </row>
    <row r="786" spans="1:17" ht="12.75" customHeight="1">
      <c r="A786" s="10" t="s">
        <v>83</v>
      </c>
      <c r="B786" s="11" t="s">
        <v>534</v>
      </c>
      <c r="C786" s="11"/>
      <c r="D786" s="11"/>
      <c r="E786" s="12">
        <f>ROUND(0,2)</f>
        <v>0</v>
      </c>
      <c r="F786" s="12">
        <f aca="true" t="shared" si="418" ref="F786:F787">ROUND(16949.68,2)</f>
        <v>16949.68</v>
      </c>
      <c r="G786" s="12">
        <f>ROUND(16949.68,2)</f>
        <v>16949.68</v>
      </c>
      <c r="H786" s="12">
        <f>ROUND(9486.86,2)</f>
        <v>9486.86</v>
      </c>
      <c r="I786" s="13">
        <f>ROUND(9486.86,2)</f>
        <v>9486.86</v>
      </c>
      <c r="J786" s="13"/>
      <c r="K786" s="13">
        <f>ROUND(9486.86,2)</f>
        <v>9486.86</v>
      </c>
      <c r="L786" s="13"/>
      <c r="M786" s="12">
        <f>ROUND(9486.86,2)</f>
        <v>9486.86</v>
      </c>
      <c r="N786" s="12">
        <f>ROUND(9486.86,2)</f>
        <v>9486.86</v>
      </c>
      <c r="O786" s="12">
        <f aca="true" t="shared" si="419" ref="O786:O787">ROUND(7462.82,2)</f>
        <v>7462.82</v>
      </c>
      <c r="P786" s="14">
        <v>44.029267809185775</v>
      </c>
      <c r="Q786" s="14">
        <v>55.97073219081422</v>
      </c>
    </row>
    <row r="787" spans="1:17" ht="12.75" customHeight="1">
      <c r="A787" s="15" t="s">
        <v>535</v>
      </c>
      <c r="B787" s="15"/>
      <c r="C787" s="15"/>
      <c r="D787" s="15"/>
      <c r="E787" s="16" t="s">
        <v>536</v>
      </c>
      <c r="F787" s="17">
        <f t="shared" si="418"/>
        <v>16949.68</v>
      </c>
      <c r="G787" s="17">
        <f>ROUND(0,2)</f>
        <v>0</v>
      </c>
      <c r="H787" s="17">
        <f>ROUND(0,2)</f>
        <v>0</v>
      </c>
      <c r="I787" s="17">
        <f>ROUND(0,2)</f>
        <v>0</v>
      </c>
      <c r="J787" s="17"/>
      <c r="K787" s="17">
        <f>ROUND(0,2)</f>
        <v>0</v>
      </c>
      <c r="L787" s="17"/>
      <c r="M787" s="17">
        <f>ROUND(0,2)</f>
        <v>0</v>
      </c>
      <c r="N787" s="17">
        <f>ROUND(0,2)</f>
        <v>0</v>
      </c>
      <c r="O787" s="17">
        <f t="shared" si="419"/>
        <v>7462.82</v>
      </c>
      <c r="P787" s="18">
        <v>55.97073219081422</v>
      </c>
      <c r="Q787" s="18">
        <v>100</v>
      </c>
    </row>
    <row r="788" spans="1:17" ht="12.75" customHeight="1">
      <c r="A788" s="19" t="s">
        <v>92</v>
      </c>
      <c r="B788" s="19"/>
      <c r="C788" s="19"/>
      <c r="D788" s="19"/>
      <c r="E788" s="20">
        <f>SUM('DS1'!$A$191:$A$206)</f>
        <v>250000</v>
      </c>
      <c r="F788" s="20">
        <v>-27124.1</v>
      </c>
      <c r="G788" s="20">
        <v>222875.89999999997</v>
      </c>
      <c r="H788" s="20">
        <v>134911.51</v>
      </c>
      <c r="I788" s="21">
        <v>134911.51</v>
      </c>
      <c r="J788" s="21"/>
      <c r="K788" s="21">
        <v>134911.51</v>
      </c>
      <c r="L788" s="21"/>
      <c r="M788" s="20">
        <v>134911.51</v>
      </c>
      <c r="N788" s="20">
        <v>127552.21</v>
      </c>
      <c r="O788" s="20">
        <v>86090.61</v>
      </c>
      <c r="P788" s="22">
        <v>38.62715080455088</v>
      </c>
      <c r="Q788" s="22">
        <v>60.53212123877011</v>
      </c>
    </row>
    <row r="789" spans="1:17" ht="12.75" customHeight="1">
      <c r="A789" s="23"/>
      <c r="B789" s="24"/>
      <c r="C789" s="24"/>
      <c r="D789" s="24"/>
      <c r="E789" s="23"/>
      <c r="F789" s="20">
        <v>46259.98</v>
      </c>
      <c r="G789" s="20">
        <v>1873.7800000000007</v>
      </c>
      <c r="H789" s="20">
        <v>0</v>
      </c>
      <c r="I789" s="21">
        <v>0</v>
      </c>
      <c r="J789" s="21"/>
      <c r="K789" s="21">
        <v>0</v>
      </c>
      <c r="L789" s="21"/>
      <c r="M789" s="20">
        <v>7359.299999999996</v>
      </c>
      <c r="N789" s="20">
        <v>0</v>
      </c>
      <c r="O789" s="20">
        <v>87964.39000000001</v>
      </c>
      <c r="P789" s="22">
        <v>60.53212123877011</v>
      </c>
      <c r="Q789" s="22">
        <v>94.54509107488308</v>
      </c>
    </row>
    <row r="790" spans="1:17" ht="20.25" customHeight="1">
      <c r="A790" s="23"/>
      <c r="B790" s="24"/>
      <c r="C790" s="24"/>
      <c r="D790" s="24"/>
      <c r="E790" s="23"/>
      <c r="F790" s="23"/>
      <c r="G790" s="23"/>
      <c r="H790" s="23"/>
      <c r="I790" s="24"/>
      <c r="J790" s="24"/>
      <c r="K790" s="24"/>
      <c r="L790" s="24"/>
      <c r="M790" s="23"/>
      <c r="N790" s="23"/>
      <c r="O790" s="23"/>
      <c r="P790" s="23"/>
      <c r="Q790" s="23"/>
    </row>
    <row r="791" spans="1:17" ht="12.75" customHeight="1">
      <c r="A791" s="10"/>
      <c r="B791" s="11" t="s">
        <v>537</v>
      </c>
      <c r="C791" s="11"/>
      <c r="D791" s="11"/>
      <c r="E791" s="12">
        <f>ROUND(0,2)</f>
        <v>0</v>
      </c>
      <c r="F791" s="12">
        <f>ROUND(900,2)</f>
        <v>900</v>
      </c>
      <c r="G791" s="12">
        <f>ROUND(900,2)</f>
        <v>900</v>
      </c>
      <c r="H791" s="12">
        <f aca="true" t="shared" si="420" ref="H791:H792">ROUND(0,2)</f>
        <v>0</v>
      </c>
      <c r="I791" s="13">
        <f aca="true" t="shared" si="421" ref="I791:I792">ROUND(0,2)</f>
        <v>0</v>
      </c>
      <c r="J791" s="13"/>
      <c r="K791" s="13">
        <f aca="true" t="shared" si="422" ref="K791:K792">ROUND(0,2)</f>
        <v>0</v>
      </c>
      <c r="L791" s="13"/>
      <c r="M791" s="12">
        <f aca="true" t="shared" si="423" ref="M791:M792">ROUND(0,2)</f>
        <v>0</v>
      </c>
      <c r="N791" s="12">
        <f aca="true" t="shared" si="424" ref="N791:N792">ROUND(0,2)</f>
        <v>0</v>
      </c>
      <c r="O791" s="12">
        <f aca="true" t="shared" si="425" ref="O791:O792">ROUND(900,2)</f>
        <v>900</v>
      </c>
      <c r="P791" s="14">
        <v>100</v>
      </c>
      <c r="Q791" s="14">
        <v>0</v>
      </c>
    </row>
    <row r="792" spans="1:17" ht="12.75" customHeight="1">
      <c r="A792" s="15" t="s">
        <v>538</v>
      </c>
      <c r="B792" s="15"/>
      <c r="C792" s="15"/>
      <c r="D792" s="15"/>
      <c r="E792" s="16" t="s">
        <v>537</v>
      </c>
      <c r="F792" s="17">
        <f>ROUND(0,2)</f>
        <v>0</v>
      </c>
      <c r="G792" s="17">
        <f>ROUND(0,2)</f>
        <v>0</v>
      </c>
      <c r="H792" s="17">
        <f t="shared" si="420"/>
        <v>0</v>
      </c>
      <c r="I792" s="17">
        <f t="shared" si="421"/>
        <v>0</v>
      </c>
      <c r="J792" s="17"/>
      <c r="K792" s="17">
        <f t="shared" si="422"/>
        <v>0</v>
      </c>
      <c r="L792" s="17"/>
      <c r="M792" s="17">
        <f t="shared" si="423"/>
        <v>0</v>
      </c>
      <c r="N792" s="17">
        <f t="shared" si="424"/>
        <v>0</v>
      </c>
      <c r="O792" s="17">
        <f t="shared" si="425"/>
        <v>900</v>
      </c>
      <c r="P792" s="18">
        <v>0</v>
      </c>
      <c r="Q792" s="18">
        <v>0</v>
      </c>
    </row>
    <row r="793" spans="1:17" ht="12.75" customHeight="1">
      <c r="A793" s="10"/>
      <c r="B793" s="11" t="s">
        <v>539</v>
      </c>
      <c r="C793" s="11"/>
      <c r="D793" s="11"/>
      <c r="E793" s="12">
        <f>ROUND(250000,2)</f>
        <v>250000</v>
      </c>
      <c r="F793" s="12">
        <f>ROUND(-207000,2)</f>
        <v>-207000</v>
      </c>
      <c r="G793" s="12">
        <f>ROUND(43000,2)</f>
        <v>43000</v>
      </c>
      <c r="H793" s="12">
        <f>ROUND(6547.82,2)</f>
        <v>6547.82</v>
      </c>
      <c r="I793" s="13">
        <f>ROUND(6547.82,2)</f>
        <v>6547.82</v>
      </c>
      <c r="J793" s="13"/>
      <c r="K793" s="13">
        <f>ROUND(6547.82,2)</f>
        <v>6547.82</v>
      </c>
      <c r="L793" s="13"/>
      <c r="M793" s="12">
        <f>ROUND(6547.82,2)</f>
        <v>6547.82</v>
      </c>
      <c r="N793" s="12">
        <f>ROUND(6547.82,2)</f>
        <v>6547.82</v>
      </c>
      <c r="O793" s="12">
        <f aca="true" t="shared" si="426" ref="O793:O794">ROUND(36452.18,2)</f>
        <v>36452.18</v>
      </c>
      <c r="P793" s="14">
        <v>84.77251162790698</v>
      </c>
      <c r="Q793" s="14">
        <v>15.227488372093024</v>
      </c>
    </row>
    <row r="794" spans="1:17" ht="12.75" customHeight="1">
      <c r="A794" s="15" t="s">
        <v>540</v>
      </c>
      <c r="B794" s="15"/>
      <c r="C794" s="15"/>
      <c r="D794" s="15"/>
      <c r="E794" s="16" t="s">
        <v>505</v>
      </c>
      <c r="F794" s="17">
        <f>ROUND(0,2)</f>
        <v>0</v>
      </c>
      <c r="G794" s="17">
        <f>ROUND(0,2)</f>
        <v>0</v>
      </c>
      <c r="H794" s="17">
        <f aca="true" t="shared" si="427" ref="H794:H798">ROUND(0,2)</f>
        <v>0</v>
      </c>
      <c r="I794" s="17">
        <f aca="true" t="shared" si="428" ref="I794:I798">ROUND(0,2)</f>
        <v>0</v>
      </c>
      <c r="J794" s="17"/>
      <c r="K794" s="17">
        <f aca="true" t="shared" si="429" ref="K794:K798">ROUND(0,2)</f>
        <v>0</v>
      </c>
      <c r="L794" s="17"/>
      <c r="M794" s="17">
        <f aca="true" t="shared" si="430" ref="M794:M798">ROUND(0,2)</f>
        <v>0</v>
      </c>
      <c r="N794" s="17">
        <f aca="true" t="shared" si="431" ref="N794:N798">ROUND(0,2)</f>
        <v>0</v>
      </c>
      <c r="O794" s="17">
        <f t="shared" si="426"/>
        <v>36452.18</v>
      </c>
      <c r="P794" s="18">
        <v>2.619128</v>
      </c>
      <c r="Q794" s="18">
        <v>100</v>
      </c>
    </row>
    <row r="795" spans="1:17" ht="12.75" customHeight="1">
      <c r="A795" s="10"/>
      <c r="B795" s="11" t="s">
        <v>541</v>
      </c>
      <c r="C795" s="11"/>
      <c r="D795" s="11"/>
      <c r="E795" s="12">
        <f>ROUND(0,2)</f>
        <v>0</v>
      </c>
      <c r="F795" s="12">
        <f>ROUND(111.37,2)</f>
        <v>111.37</v>
      </c>
      <c r="G795" s="12">
        <f>ROUND(111.37,2)</f>
        <v>111.37</v>
      </c>
      <c r="H795" s="12">
        <f t="shared" si="427"/>
        <v>0</v>
      </c>
      <c r="I795" s="13">
        <f t="shared" si="428"/>
        <v>0</v>
      </c>
      <c r="J795" s="13"/>
      <c r="K795" s="13">
        <f t="shared" si="429"/>
        <v>0</v>
      </c>
      <c r="L795" s="13"/>
      <c r="M795" s="12">
        <f t="shared" si="430"/>
        <v>0</v>
      </c>
      <c r="N795" s="12">
        <f t="shared" si="431"/>
        <v>0</v>
      </c>
      <c r="O795" s="12">
        <f aca="true" t="shared" si="432" ref="O795:O796">ROUND(111.37,2)</f>
        <v>111.37</v>
      </c>
      <c r="P795" s="14">
        <v>100</v>
      </c>
      <c r="Q795" s="14">
        <v>0</v>
      </c>
    </row>
    <row r="796" spans="1:17" ht="12.75" customHeight="1">
      <c r="A796" s="15" t="s">
        <v>542</v>
      </c>
      <c r="B796" s="15"/>
      <c r="C796" s="15"/>
      <c r="D796" s="15"/>
      <c r="E796" s="16" t="s">
        <v>541</v>
      </c>
      <c r="F796" s="17">
        <f>ROUND(0,2)</f>
        <v>0</v>
      </c>
      <c r="G796" s="17">
        <f>ROUND(0,2)</f>
        <v>0</v>
      </c>
      <c r="H796" s="17">
        <f t="shared" si="427"/>
        <v>0</v>
      </c>
      <c r="I796" s="17">
        <f t="shared" si="428"/>
        <v>0</v>
      </c>
      <c r="J796" s="17"/>
      <c r="K796" s="17">
        <f t="shared" si="429"/>
        <v>0</v>
      </c>
      <c r="L796" s="17"/>
      <c r="M796" s="17">
        <f t="shared" si="430"/>
        <v>0</v>
      </c>
      <c r="N796" s="17">
        <f t="shared" si="431"/>
        <v>0</v>
      </c>
      <c r="O796" s="17">
        <f t="shared" si="432"/>
        <v>111.37</v>
      </c>
      <c r="P796" s="18">
        <v>0</v>
      </c>
      <c r="Q796" s="18">
        <v>0</v>
      </c>
    </row>
    <row r="797" spans="1:17" ht="12.75" customHeight="1">
      <c r="A797" s="10"/>
      <c r="B797" s="11" t="s">
        <v>543</v>
      </c>
      <c r="C797" s="11"/>
      <c r="D797" s="11"/>
      <c r="E797" s="12">
        <f>ROUND(0,2)</f>
        <v>0</v>
      </c>
      <c r="F797" s="12">
        <f>ROUND(1500,2)</f>
        <v>1500</v>
      </c>
      <c r="G797" s="12">
        <f>ROUND(1500,2)</f>
        <v>1500</v>
      </c>
      <c r="H797" s="12">
        <f t="shared" si="427"/>
        <v>0</v>
      </c>
      <c r="I797" s="13">
        <f t="shared" si="428"/>
        <v>0</v>
      </c>
      <c r="J797" s="13"/>
      <c r="K797" s="13">
        <f t="shared" si="429"/>
        <v>0</v>
      </c>
      <c r="L797" s="13"/>
      <c r="M797" s="12">
        <f t="shared" si="430"/>
        <v>0</v>
      </c>
      <c r="N797" s="12">
        <f t="shared" si="431"/>
        <v>0</v>
      </c>
      <c r="O797" s="12">
        <f aca="true" t="shared" si="433" ref="O797:O798">ROUND(1500,2)</f>
        <v>1500</v>
      </c>
      <c r="P797" s="14">
        <v>100</v>
      </c>
      <c r="Q797" s="14">
        <v>0</v>
      </c>
    </row>
    <row r="798" spans="1:17" ht="12.75" customHeight="1">
      <c r="A798" s="15" t="s">
        <v>544</v>
      </c>
      <c r="B798" s="15"/>
      <c r="C798" s="15"/>
      <c r="D798" s="15"/>
      <c r="E798" s="16" t="s">
        <v>543</v>
      </c>
      <c r="F798" s="17">
        <f>ROUND(0,2)</f>
        <v>0</v>
      </c>
      <c r="G798" s="17">
        <f>ROUND(0,2)</f>
        <v>0</v>
      </c>
      <c r="H798" s="17">
        <f t="shared" si="427"/>
        <v>0</v>
      </c>
      <c r="I798" s="17">
        <f t="shared" si="428"/>
        <v>0</v>
      </c>
      <c r="J798" s="17"/>
      <c r="K798" s="17">
        <f t="shared" si="429"/>
        <v>0</v>
      </c>
      <c r="L798" s="17"/>
      <c r="M798" s="17">
        <f t="shared" si="430"/>
        <v>0</v>
      </c>
      <c r="N798" s="17">
        <f t="shared" si="431"/>
        <v>0</v>
      </c>
      <c r="O798" s="17">
        <f t="shared" si="433"/>
        <v>1500</v>
      </c>
      <c r="P798" s="18">
        <v>0</v>
      </c>
      <c r="Q798" s="18">
        <v>0</v>
      </c>
    </row>
    <row r="799" spans="1:17" ht="12.75" customHeight="1">
      <c r="A799" s="19" t="s">
        <v>124</v>
      </c>
      <c r="B799" s="19"/>
      <c r="C799" s="19"/>
      <c r="D799" s="19"/>
      <c r="E799" s="20">
        <f>SUM('DS1'!$A$207:$A$210)</f>
        <v>250000</v>
      </c>
      <c r="F799" s="20">
        <v>-204488.63</v>
      </c>
      <c r="G799" s="20">
        <v>45511.37</v>
      </c>
      <c r="H799" s="20">
        <v>6547.82</v>
      </c>
      <c r="I799" s="21">
        <v>6547.82</v>
      </c>
      <c r="J799" s="21"/>
      <c r="K799" s="21">
        <v>6547.82</v>
      </c>
      <c r="L799" s="21"/>
      <c r="M799" s="20">
        <v>6547.82</v>
      </c>
      <c r="N799" s="20">
        <v>6547.82</v>
      </c>
      <c r="O799" s="20">
        <v>38963.55</v>
      </c>
      <c r="P799" s="22">
        <v>85.61278203666468</v>
      </c>
      <c r="Q799" s="22">
        <v>14.387217963335313</v>
      </c>
    </row>
    <row r="800" spans="1:17" ht="12.75" customHeight="1">
      <c r="A800" s="23"/>
      <c r="B800" s="24"/>
      <c r="C800" s="24"/>
      <c r="D800" s="24"/>
      <c r="E800" s="23"/>
      <c r="F800" s="20">
        <v>0</v>
      </c>
      <c r="G800" s="20">
        <v>0</v>
      </c>
      <c r="H800" s="20">
        <v>0</v>
      </c>
      <c r="I800" s="21">
        <v>0</v>
      </c>
      <c r="J800" s="21"/>
      <c r="K800" s="21">
        <v>0</v>
      </c>
      <c r="L800" s="21"/>
      <c r="M800" s="20">
        <v>0</v>
      </c>
      <c r="N800" s="20">
        <v>0</v>
      </c>
      <c r="O800" s="20">
        <v>38963.55</v>
      </c>
      <c r="P800" s="22">
        <v>14.387217963335313</v>
      </c>
      <c r="Q800" s="22">
        <v>100</v>
      </c>
    </row>
    <row r="801" spans="1:17" ht="20.25" customHeight="1">
      <c r="A801" s="23"/>
      <c r="B801" s="24"/>
      <c r="C801" s="24"/>
      <c r="D801" s="24"/>
      <c r="E801" s="23"/>
      <c r="F801" s="23"/>
      <c r="G801" s="23"/>
      <c r="H801" s="23"/>
      <c r="I801" s="24"/>
      <c r="J801" s="24"/>
      <c r="K801" s="24"/>
      <c r="L801" s="24"/>
      <c r="M801" s="23"/>
      <c r="N801" s="23"/>
      <c r="O801" s="23"/>
      <c r="P801" s="23"/>
      <c r="Q801" s="23"/>
    </row>
    <row r="802" spans="1:17" ht="12.75" customHeight="1">
      <c r="A802" s="10"/>
      <c r="B802" s="11" t="s">
        <v>545</v>
      </c>
      <c r="C802" s="11"/>
      <c r="D802" s="11"/>
      <c r="E802" s="12">
        <f>ROUND(0,2)</f>
        <v>0</v>
      </c>
      <c r="F802" s="12">
        <f aca="true" t="shared" si="434" ref="F802:F803">ROUND(0,2)</f>
        <v>0</v>
      </c>
      <c r="G802" s="12">
        <f aca="true" t="shared" si="435" ref="G802:G803">ROUND(0,2)</f>
        <v>0</v>
      </c>
      <c r="H802" s="12">
        <f>ROUND(16300.05,2)</f>
        <v>16300.05</v>
      </c>
      <c r="I802" s="13">
        <f>ROUND(16300.05,2)</f>
        <v>16300.05</v>
      </c>
      <c r="J802" s="13"/>
      <c r="K802" s="13">
        <f>ROUND(16300.05,2)</f>
        <v>16300.05</v>
      </c>
      <c r="L802" s="13"/>
      <c r="M802" s="12">
        <f>ROUND(16300.05,2)</f>
        <v>16300.05</v>
      </c>
      <c r="N802" s="12">
        <f>ROUND(15305.05,2)</f>
        <v>15305.05</v>
      </c>
      <c r="O802" s="12">
        <f aca="true" t="shared" si="436" ref="O802:O803">ROUND(-16300.05,2)</f>
        <v>-16300.05</v>
      </c>
      <c r="P802" s="14">
        <v>0</v>
      </c>
      <c r="Q802" s="14">
        <v>0</v>
      </c>
    </row>
    <row r="803" spans="1:17" ht="12.75" customHeight="1">
      <c r="A803" s="15" t="s">
        <v>546</v>
      </c>
      <c r="B803" s="15"/>
      <c r="C803" s="15"/>
      <c r="D803" s="15"/>
      <c r="E803" s="16" t="s">
        <v>505</v>
      </c>
      <c r="F803" s="17">
        <f t="shared" si="434"/>
        <v>0</v>
      </c>
      <c r="G803" s="17">
        <f t="shared" si="435"/>
        <v>0</v>
      </c>
      <c r="H803" s="17">
        <f aca="true" t="shared" si="437" ref="H803:H805">ROUND(0,2)</f>
        <v>0</v>
      </c>
      <c r="I803" s="17">
        <f aca="true" t="shared" si="438" ref="I803:I805">ROUND(0,2)</f>
        <v>0</v>
      </c>
      <c r="J803" s="17"/>
      <c r="K803" s="17">
        <f aca="true" t="shared" si="439" ref="K803:K805">ROUND(0,2)</f>
        <v>0</v>
      </c>
      <c r="L803" s="17"/>
      <c r="M803" s="17">
        <f>ROUND(995,2)</f>
        <v>995</v>
      </c>
      <c r="N803" s="17">
        <f aca="true" t="shared" si="440" ref="N803:N805">ROUND(0,2)</f>
        <v>0</v>
      </c>
      <c r="O803" s="17">
        <f t="shared" si="436"/>
        <v>-16300.05</v>
      </c>
      <c r="P803" s="18">
        <v>0</v>
      </c>
      <c r="Q803" s="18">
        <v>93.89572424624464</v>
      </c>
    </row>
    <row r="804" spans="1:17" ht="12.75" customHeight="1">
      <c r="A804" s="10" t="s">
        <v>83</v>
      </c>
      <c r="B804" s="11" t="s">
        <v>547</v>
      </c>
      <c r="C804" s="11"/>
      <c r="D804" s="11"/>
      <c r="E804" s="12">
        <f>ROUND(0,2)</f>
        <v>0</v>
      </c>
      <c r="F804" s="12">
        <f aca="true" t="shared" si="441" ref="F804:F805">ROUND(4863.27,2)</f>
        <v>4863.27</v>
      </c>
      <c r="G804" s="12">
        <f>ROUND(4863.27,2)</f>
        <v>4863.27</v>
      </c>
      <c r="H804" s="12">
        <f t="shared" si="437"/>
        <v>0</v>
      </c>
      <c r="I804" s="13">
        <f t="shared" si="438"/>
        <v>0</v>
      </c>
      <c r="J804" s="13"/>
      <c r="K804" s="13">
        <f t="shared" si="439"/>
        <v>0</v>
      </c>
      <c r="L804" s="13"/>
      <c r="M804" s="12">
        <f aca="true" t="shared" si="442" ref="M804:M805">ROUND(0,2)</f>
        <v>0</v>
      </c>
      <c r="N804" s="12">
        <f t="shared" si="440"/>
        <v>0</v>
      </c>
      <c r="O804" s="12">
        <f aca="true" t="shared" si="443" ref="O804:O805">ROUND(4863.27,2)</f>
        <v>4863.27</v>
      </c>
      <c r="P804" s="14">
        <v>100</v>
      </c>
      <c r="Q804" s="14">
        <v>0</v>
      </c>
    </row>
    <row r="805" spans="1:17" ht="12.75" customHeight="1">
      <c r="A805" s="15" t="s">
        <v>532</v>
      </c>
      <c r="B805" s="15"/>
      <c r="C805" s="15"/>
      <c r="D805" s="15"/>
      <c r="E805" s="16" t="s">
        <v>548</v>
      </c>
      <c r="F805" s="17">
        <f t="shared" si="441"/>
        <v>4863.27</v>
      </c>
      <c r="G805" s="17">
        <f>ROUND(0,2)</f>
        <v>0</v>
      </c>
      <c r="H805" s="17">
        <f t="shared" si="437"/>
        <v>0</v>
      </c>
      <c r="I805" s="17">
        <f t="shared" si="438"/>
        <v>0</v>
      </c>
      <c r="J805" s="17"/>
      <c r="K805" s="17">
        <f t="shared" si="439"/>
        <v>0</v>
      </c>
      <c r="L805" s="17"/>
      <c r="M805" s="17">
        <f t="shared" si="442"/>
        <v>0</v>
      </c>
      <c r="N805" s="17">
        <f t="shared" si="440"/>
        <v>0</v>
      </c>
      <c r="O805" s="17">
        <f t="shared" si="443"/>
        <v>4863.27</v>
      </c>
      <c r="P805" s="18">
        <v>0</v>
      </c>
      <c r="Q805" s="18">
        <v>0</v>
      </c>
    </row>
    <row r="806" spans="1:17" ht="12.75" customHeight="1">
      <c r="A806" s="10" t="s">
        <v>83</v>
      </c>
      <c r="B806" s="11" t="s">
        <v>549</v>
      </c>
      <c r="C806" s="11"/>
      <c r="D806" s="11"/>
      <c r="E806" s="12">
        <f>ROUND(0,2)</f>
        <v>0</v>
      </c>
      <c r="F806" s="12">
        <f aca="true" t="shared" si="444" ref="F806:F807">ROUND(5575,2)</f>
        <v>5575</v>
      </c>
      <c r="G806" s="12">
        <f>ROUND(5575,2)</f>
        <v>5575</v>
      </c>
      <c r="H806" s="12">
        <f>ROUND(4655,2)</f>
        <v>4655</v>
      </c>
      <c r="I806" s="13">
        <f>ROUND(4655,2)</f>
        <v>4655</v>
      </c>
      <c r="J806" s="13"/>
      <c r="K806" s="13">
        <f>ROUND(4655,2)</f>
        <v>4655</v>
      </c>
      <c r="L806" s="13"/>
      <c r="M806" s="12">
        <f>ROUND(4655,2)</f>
        <v>4655</v>
      </c>
      <c r="N806" s="12">
        <f>ROUND(4655,2)</f>
        <v>4655</v>
      </c>
      <c r="O806" s="12">
        <f aca="true" t="shared" si="445" ref="O806:O807">ROUND(920,2)</f>
        <v>920</v>
      </c>
      <c r="P806" s="14">
        <v>16.50224215246637</v>
      </c>
      <c r="Q806" s="14">
        <v>83.49775784753362</v>
      </c>
    </row>
    <row r="807" spans="1:17" ht="12.75" customHeight="1">
      <c r="A807" s="15" t="s">
        <v>550</v>
      </c>
      <c r="B807" s="15"/>
      <c r="C807" s="15"/>
      <c r="D807" s="15"/>
      <c r="E807" s="16" t="s">
        <v>551</v>
      </c>
      <c r="F807" s="17">
        <f t="shared" si="444"/>
        <v>5575</v>
      </c>
      <c r="G807" s="17">
        <f>ROUND(0,2)</f>
        <v>0</v>
      </c>
      <c r="H807" s="17">
        <f>ROUND(0,2)</f>
        <v>0</v>
      </c>
      <c r="I807" s="17">
        <f>ROUND(0,2)</f>
        <v>0</v>
      </c>
      <c r="J807" s="17"/>
      <c r="K807" s="17">
        <f>ROUND(0,2)</f>
        <v>0</v>
      </c>
      <c r="L807" s="17"/>
      <c r="M807" s="17">
        <f>ROUND(0,2)</f>
        <v>0</v>
      </c>
      <c r="N807" s="17">
        <f aca="true" t="shared" si="446" ref="N807:N815">ROUND(0,2)</f>
        <v>0</v>
      </c>
      <c r="O807" s="17">
        <f t="shared" si="445"/>
        <v>920</v>
      </c>
      <c r="P807" s="18">
        <v>83.49775784753362</v>
      </c>
      <c r="Q807" s="18">
        <v>100</v>
      </c>
    </row>
    <row r="808" spans="1:17" ht="12.75" customHeight="1">
      <c r="A808" s="10"/>
      <c r="B808" s="11" t="s">
        <v>552</v>
      </c>
      <c r="C808" s="11"/>
      <c r="D808" s="11"/>
      <c r="E808" s="12">
        <f>ROUND(0,2)</f>
        <v>0</v>
      </c>
      <c r="F808" s="12">
        <f>ROUND(6315.07,2)</f>
        <v>6315.07</v>
      </c>
      <c r="G808" s="12">
        <f>ROUND(6315.07,2)</f>
        <v>6315.07</v>
      </c>
      <c r="H808" s="12">
        <f>ROUND(6315.07,2)</f>
        <v>6315.07</v>
      </c>
      <c r="I808" s="13">
        <f>ROUND(6315.07,2)</f>
        <v>6315.07</v>
      </c>
      <c r="J808" s="13"/>
      <c r="K808" s="13">
        <f>ROUND(6315.07,2)</f>
        <v>6315.07</v>
      </c>
      <c r="L808" s="13"/>
      <c r="M808" s="12">
        <f aca="true" t="shared" si="447" ref="M808:M809">ROUND(6315.07,2)</f>
        <v>6315.07</v>
      </c>
      <c r="N808" s="12">
        <f t="shared" si="446"/>
        <v>0</v>
      </c>
      <c r="O808" s="12">
        <f aca="true" t="shared" si="448" ref="O808:O811">ROUND(0,2)</f>
        <v>0</v>
      </c>
      <c r="P808" s="14">
        <v>0</v>
      </c>
      <c r="Q808" s="14">
        <v>100</v>
      </c>
    </row>
    <row r="809" spans="1:17" ht="12.75" customHeight="1">
      <c r="A809" s="15" t="s">
        <v>553</v>
      </c>
      <c r="B809" s="15"/>
      <c r="C809" s="15"/>
      <c r="D809" s="15"/>
      <c r="E809" s="16" t="s">
        <v>552</v>
      </c>
      <c r="F809" s="17">
        <f>ROUND(0,2)</f>
        <v>0</v>
      </c>
      <c r="G809" s="17">
        <f>ROUND(0,2)</f>
        <v>0</v>
      </c>
      <c r="H809" s="17">
        <f>ROUND(0,2)</f>
        <v>0</v>
      </c>
      <c r="I809" s="17">
        <f>ROUND(0,2)</f>
        <v>0</v>
      </c>
      <c r="J809" s="17"/>
      <c r="K809" s="17">
        <f>ROUND(0,2)</f>
        <v>0</v>
      </c>
      <c r="L809" s="17"/>
      <c r="M809" s="17">
        <f t="shared" si="447"/>
        <v>6315.07</v>
      </c>
      <c r="N809" s="17">
        <f t="shared" si="446"/>
        <v>0</v>
      </c>
      <c r="O809" s="17">
        <f t="shared" si="448"/>
        <v>0</v>
      </c>
      <c r="P809" s="18">
        <v>100</v>
      </c>
      <c r="Q809" s="18">
        <v>0</v>
      </c>
    </row>
    <row r="810" spans="1:17" ht="12.75" customHeight="1">
      <c r="A810" s="10" t="s">
        <v>83</v>
      </c>
      <c r="B810" s="11" t="s">
        <v>554</v>
      </c>
      <c r="C810" s="11"/>
      <c r="D810" s="11"/>
      <c r="E810" s="12">
        <f>ROUND(0,2)</f>
        <v>0</v>
      </c>
      <c r="F810" s="12">
        <f aca="true" t="shared" si="449" ref="F810:F811">ROUND(4863.27,2)</f>
        <v>4863.27</v>
      </c>
      <c r="G810" s="12">
        <f>ROUND(4863.27,2)</f>
        <v>4863.27</v>
      </c>
      <c r="H810" s="12">
        <f>ROUND(4863.27,2)</f>
        <v>4863.27</v>
      </c>
      <c r="I810" s="13">
        <f>ROUND(4863.27,2)</f>
        <v>4863.27</v>
      </c>
      <c r="J810" s="13"/>
      <c r="K810" s="13">
        <f>ROUND(4863.27,2)</f>
        <v>4863.27</v>
      </c>
      <c r="L810" s="13"/>
      <c r="M810" s="12">
        <f aca="true" t="shared" si="450" ref="M810:M811">ROUND(4863.27,2)</f>
        <v>4863.27</v>
      </c>
      <c r="N810" s="12">
        <f t="shared" si="446"/>
        <v>0</v>
      </c>
      <c r="O810" s="12">
        <f t="shared" si="448"/>
        <v>0</v>
      </c>
      <c r="P810" s="14">
        <v>0</v>
      </c>
      <c r="Q810" s="14">
        <v>100</v>
      </c>
    </row>
    <row r="811" spans="1:17" ht="12.75" customHeight="1">
      <c r="A811" s="15" t="s">
        <v>482</v>
      </c>
      <c r="B811" s="15"/>
      <c r="C811" s="15"/>
      <c r="D811" s="15"/>
      <c r="E811" s="16" t="s">
        <v>555</v>
      </c>
      <c r="F811" s="17">
        <f t="shared" si="449"/>
        <v>4863.27</v>
      </c>
      <c r="G811" s="17">
        <f>ROUND(0,2)</f>
        <v>0</v>
      </c>
      <c r="H811" s="17">
        <f aca="true" t="shared" si="451" ref="H811:H813">ROUND(0,2)</f>
        <v>0</v>
      </c>
      <c r="I811" s="17">
        <f aca="true" t="shared" si="452" ref="I811:I813">ROUND(0,2)</f>
        <v>0</v>
      </c>
      <c r="J811" s="17"/>
      <c r="K811" s="17">
        <f aca="true" t="shared" si="453" ref="K811:K815">ROUND(0,2)</f>
        <v>0</v>
      </c>
      <c r="L811" s="17"/>
      <c r="M811" s="17">
        <f t="shared" si="450"/>
        <v>4863.27</v>
      </c>
      <c r="N811" s="17">
        <f t="shared" si="446"/>
        <v>0</v>
      </c>
      <c r="O811" s="17">
        <f t="shared" si="448"/>
        <v>0</v>
      </c>
      <c r="P811" s="18">
        <v>100</v>
      </c>
      <c r="Q811" s="18">
        <v>0</v>
      </c>
    </row>
    <row r="812" spans="1:17" ht="12.75" customHeight="1">
      <c r="A812" s="10"/>
      <c r="B812" s="11" t="s">
        <v>556</v>
      </c>
      <c r="C812" s="11"/>
      <c r="D812" s="11"/>
      <c r="E812" s="12">
        <f>ROUND(0,2)</f>
        <v>0</v>
      </c>
      <c r="F812" s="12">
        <f>ROUND(4476.62,2)</f>
        <v>4476.62</v>
      </c>
      <c r="G812" s="12">
        <f>ROUND(4476.62,2)</f>
        <v>4476.62</v>
      </c>
      <c r="H812" s="12">
        <f t="shared" si="451"/>
        <v>0</v>
      </c>
      <c r="I812" s="13">
        <f t="shared" si="452"/>
        <v>0</v>
      </c>
      <c r="J812" s="13"/>
      <c r="K812" s="13">
        <f t="shared" si="453"/>
        <v>0</v>
      </c>
      <c r="L812" s="13"/>
      <c r="M812" s="12">
        <f aca="true" t="shared" si="454" ref="M812:M815">ROUND(0,2)</f>
        <v>0</v>
      </c>
      <c r="N812" s="12">
        <f t="shared" si="446"/>
        <v>0</v>
      </c>
      <c r="O812" s="12">
        <f aca="true" t="shared" si="455" ref="O812:O813">ROUND(4476.62,2)</f>
        <v>4476.62</v>
      </c>
      <c r="P812" s="14">
        <v>100</v>
      </c>
      <c r="Q812" s="14">
        <v>0</v>
      </c>
    </row>
    <row r="813" spans="1:17" ht="12.75" customHeight="1">
      <c r="A813" s="15" t="s">
        <v>557</v>
      </c>
      <c r="B813" s="15"/>
      <c r="C813" s="15"/>
      <c r="D813" s="15"/>
      <c r="E813" s="16" t="s">
        <v>556</v>
      </c>
      <c r="F813" s="17">
        <f>ROUND(0,2)</f>
        <v>0</v>
      </c>
      <c r="G813" s="17">
        <f>ROUND(0,2)</f>
        <v>0</v>
      </c>
      <c r="H813" s="17">
        <f t="shared" si="451"/>
        <v>0</v>
      </c>
      <c r="I813" s="17">
        <f t="shared" si="452"/>
        <v>0</v>
      </c>
      <c r="J813" s="17"/>
      <c r="K813" s="17">
        <f t="shared" si="453"/>
        <v>0</v>
      </c>
      <c r="L813" s="17"/>
      <c r="M813" s="17">
        <f t="shared" si="454"/>
        <v>0</v>
      </c>
      <c r="N813" s="17">
        <f t="shared" si="446"/>
        <v>0</v>
      </c>
      <c r="O813" s="17">
        <f t="shared" si="455"/>
        <v>4476.62</v>
      </c>
      <c r="P813" s="18">
        <v>0</v>
      </c>
      <c r="Q813" s="18">
        <v>0</v>
      </c>
    </row>
    <row r="814" spans="1:17" ht="12.75" customHeight="1">
      <c r="A814" s="10"/>
      <c r="B814" s="11" t="s">
        <v>558</v>
      </c>
      <c r="C814" s="11"/>
      <c r="D814" s="11"/>
      <c r="E814" s="12">
        <f>ROUND(0,2)</f>
        <v>0</v>
      </c>
      <c r="F814" s="12">
        <f>ROUND(4500.39,2)</f>
        <v>4500.39</v>
      </c>
      <c r="G814" s="12">
        <f>ROUND(4500.39,2)</f>
        <v>4500.39</v>
      </c>
      <c r="H814" s="12">
        <f>ROUND(4500.39,2)</f>
        <v>4500.39</v>
      </c>
      <c r="I814" s="13">
        <f aca="true" t="shared" si="456" ref="I814:I815">ROUND(4500.39,2)</f>
        <v>4500.39</v>
      </c>
      <c r="J814" s="13"/>
      <c r="K814" s="13">
        <f t="shared" si="453"/>
        <v>0</v>
      </c>
      <c r="L814" s="13"/>
      <c r="M814" s="12">
        <f t="shared" si="454"/>
        <v>0</v>
      </c>
      <c r="N814" s="12">
        <f t="shared" si="446"/>
        <v>0</v>
      </c>
      <c r="O814" s="12">
        <f>ROUND(0,2)</f>
        <v>0</v>
      </c>
      <c r="P814" s="14">
        <v>0</v>
      </c>
      <c r="Q814" s="14">
        <v>0</v>
      </c>
    </row>
    <row r="815" spans="1:17" ht="12.75" customHeight="1">
      <c r="A815" s="15" t="s">
        <v>559</v>
      </c>
      <c r="B815" s="15"/>
      <c r="C815" s="15"/>
      <c r="D815" s="15"/>
      <c r="E815" s="16" t="s">
        <v>558</v>
      </c>
      <c r="F815" s="17">
        <f>ROUND(0,2)</f>
        <v>0</v>
      </c>
      <c r="G815" s="17">
        <f>ROUND(0,2)</f>
        <v>0</v>
      </c>
      <c r="H815" s="17">
        <f>ROUND(0,2)</f>
        <v>0</v>
      </c>
      <c r="I815" s="17">
        <f t="shared" si="456"/>
        <v>4500.39</v>
      </c>
      <c r="J815" s="17"/>
      <c r="K815" s="17">
        <f t="shared" si="453"/>
        <v>0</v>
      </c>
      <c r="L815" s="17"/>
      <c r="M815" s="17">
        <f t="shared" si="454"/>
        <v>0</v>
      </c>
      <c r="N815" s="17">
        <f t="shared" si="446"/>
        <v>0</v>
      </c>
      <c r="O815" s="17">
        <f>ROUND(4500.39,2)</f>
        <v>4500.39</v>
      </c>
      <c r="P815" s="18">
        <v>100</v>
      </c>
      <c r="Q815" s="18">
        <v>0</v>
      </c>
    </row>
    <row r="816" spans="1:17" ht="12.75" customHeight="1">
      <c r="A816" s="10"/>
      <c r="B816" s="11" t="s">
        <v>560</v>
      </c>
      <c r="C816" s="11"/>
      <c r="D816" s="11"/>
      <c r="E816" s="12">
        <f>ROUND(0,2)</f>
        <v>0</v>
      </c>
      <c r="F816" s="12">
        <f>ROUND(33128.8,2)</f>
        <v>33128.8</v>
      </c>
      <c r="G816" s="12">
        <f>ROUND(33128.8,2)</f>
        <v>33128.8</v>
      </c>
      <c r="H816" s="12">
        <f>ROUND(29265,2)</f>
        <v>29265</v>
      </c>
      <c r="I816" s="13">
        <f>ROUND(29265,2)</f>
        <v>29265</v>
      </c>
      <c r="J816" s="13"/>
      <c r="K816" s="13">
        <f>ROUND(29265,2)</f>
        <v>29265</v>
      </c>
      <c r="L816" s="13"/>
      <c r="M816" s="12">
        <f>ROUND(29265,2)</f>
        <v>29265</v>
      </c>
      <c r="N816" s="12">
        <f>ROUND(29265,2)</f>
        <v>29265</v>
      </c>
      <c r="O816" s="12">
        <f>ROUND(3863.8,2)</f>
        <v>3863.8</v>
      </c>
      <c r="P816" s="14">
        <v>11.662963946777426</v>
      </c>
      <c r="Q816" s="14">
        <v>88.33703605322256</v>
      </c>
    </row>
    <row r="817" spans="1:17" ht="12.75" customHeight="1">
      <c r="A817" s="15" t="s">
        <v>561</v>
      </c>
      <c r="B817" s="15"/>
      <c r="C817" s="15"/>
      <c r="D817" s="15"/>
      <c r="E817" s="16" t="s">
        <v>560</v>
      </c>
      <c r="F817" s="17">
        <f>ROUND(0,2)</f>
        <v>0</v>
      </c>
      <c r="G817" s="17">
        <f>ROUND(0,2)</f>
        <v>0</v>
      </c>
      <c r="H817" s="17">
        <f>ROUND(0,2)</f>
        <v>0</v>
      </c>
      <c r="I817" s="17">
        <f>ROUND(0,2)</f>
        <v>0</v>
      </c>
      <c r="J817" s="17"/>
      <c r="K817" s="17">
        <f>ROUND(0,2)</f>
        <v>0</v>
      </c>
      <c r="L817" s="17"/>
      <c r="M817" s="17">
        <f>ROUND(0,2)</f>
        <v>0</v>
      </c>
      <c r="N817" s="17">
        <f>ROUND(0,2)</f>
        <v>0</v>
      </c>
      <c r="O817" s="17">
        <f>ROUND(3863.8,2)</f>
        <v>3863.8</v>
      </c>
      <c r="P817" s="18">
        <v>88.33703605322256</v>
      </c>
      <c r="Q817" s="18">
        <v>100</v>
      </c>
    </row>
    <row r="818" spans="1:17" ht="12.75" customHeight="1">
      <c r="A818" s="19" t="s">
        <v>37</v>
      </c>
      <c r="B818" s="19"/>
      <c r="C818" s="19"/>
      <c r="D818" s="19"/>
      <c r="E818" s="20">
        <f>SUM('DS1'!$A$211:$A$218)</f>
        <v>0</v>
      </c>
      <c r="F818" s="20">
        <v>63722.42</v>
      </c>
      <c r="G818" s="20">
        <v>63722.42</v>
      </c>
      <c r="H818" s="20">
        <v>65898.78</v>
      </c>
      <c r="I818" s="21">
        <v>65898.78</v>
      </c>
      <c r="J818" s="21"/>
      <c r="K818" s="21">
        <v>61398.39</v>
      </c>
      <c r="L818" s="21"/>
      <c r="M818" s="20">
        <v>61398.39</v>
      </c>
      <c r="N818" s="20">
        <v>49225.05</v>
      </c>
      <c r="O818" s="20">
        <v>-2176.36</v>
      </c>
      <c r="P818" s="22">
        <v>-3.41537562446624</v>
      </c>
      <c r="Q818" s="22">
        <v>96.35288490299018</v>
      </c>
    </row>
    <row r="819" spans="1:17" ht="12.75" customHeight="1">
      <c r="A819" s="23"/>
      <c r="B819" s="24"/>
      <c r="C819" s="24"/>
      <c r="D819" s="24"/>
      <c r="E819" s="23"/>
      <c r="F819" s="20">
        <v>15301.54</v>
      </c>
      <c r="G819" s="20">
        <v>0</v>
      </c>
      <c r="H819" s="20">
        <v>0</v>
      </c>
      <c r="I819" s="21">
        <v>4500.39</v>
      </c>
      <c r="J819" s="21"/>
      <c r="K819" s="21">
        <v>0</v>
      </c>
      <c r="L819" s="21"/>
      <c r="M819" s="20">
        <v>12173.34</v>
      </c>
      <c r="N819" s="20">
        <v>0</v>
      </c>
      <c r="O819" s="20">
        <v>2324.0300000000043</v>
      </c>
      <c r="P819" s="22">
        <v>103.41537562446624</v>
      </c>
      <c r="Q819" s="22">
        <v>80.17319346647363</v>
      </c>
    </row>
    <row r="820" spans="1:17" ht="20.25" customHeight="1">
      <c r="A820" s="23"/>
      <c r="B820" s="24"/>
      <c r="C820" s="24"/>
      <c r="D820" s="24"/>
      <c r="E820" s="23"/>
      <c r="F820" s="23"/>
      <c r="G820" s="23"/>
      <c r="H820" s="23"/>
      <c r="I820" s="24"/>
      <c r="J820" s="24"/>
      <c r="K820" s="24"/>
      <c r="L820" s="24"/>
      <c r="M820" s="23"/>
      <c r="N820" s="23"/>
      <c r="O820" s="23"/>
      <c r="P820" s="23"/>
      <c r="Q820" s="23"/>
    </row>
    <row r="821" spans="1:17" ht="12.75" customHeight="1">
      <c r="A821" s="10"/>
      <c r="B821" s="11" t="s">
        <v>562</v>
      </c>
      <c r="C821" s="11"/>
      <c r="D821" s="11"/>
      <c r="E821" s="12">
        <f>ROUND(0,2)</f>
        <v>0</v>
      </c>
      <c r="F821" s="12">
        <f>ROUND(19200,2)</f>
        <v>19200</v>
      </c>
      <c r="G821" s="12">
        <f>ROUND(19200,2)</f>
        <v>19200</v>
      </c>
      <c r="H821" s="12">
        <f>ROUND(14760,2)</f>
        <v>14760</v>
      </c>
      <c r="I821" s="13">
        <f>ROUND(14760,2)</f>
        <v>14760</v>
      </c>
      <c r="J821" s="13"/>
      <c r="K821" s="13">
        <f>ROUND(14760,2)</f>
        <v>14760</v>
      </c>
      <c r="L821" s="13"/>
      <c r="M821" s="12">
        <f>ROUND(14760,2)</f>
        <v>14760</v>
      </c>
      <c r="N821" s="12">
        <f>ROUND(14760,2)</f>
        <v>14760</v>
      </c>
      <c r="O821" s="12">
        <f aca="true" t="shared" si="457" ref="O821:O822">ROUND(4440,2)</f>
        <v>4440</v>
      </c>
      <c r="P821" s="14">
        <v>23.125</v>
      </c>
      <c r="Q821" s="14">
        <v>76.875</v>
      </c>
    </row>
    <row r="822" spans="1:17" ht="12.75" customHeight="1">
      <c r="A822" s="15" t="s">
        <v>563</v>
      </c>
      <c r="B822" s="15"/>
      <c r="C822" s="15"/>
      <c r="D822" s="15"/>
      <c r="E822" s="16" t="s">
        <v>562</v>
      </c>
      <c r="F822" s="17">
        <f>ROUND(0,2)</f>
        <v>0</v>
      </c>
      <c r="G822" s="17">
        <f>ROUND(0,2)</f>
        <v>0</v>
      </c>
      <c r="H822" s="17">
        <f>ROUND(0,2)</f>
        <v>0</v>
      </c>
      <c r="I822" s="17">
        <f>ROUND(0,2)</f>
        <v>0</v>
      </c>
      <c r="J822" s="17"/>
      <c r="K822" s="17">
        <f>ROUND(0,2)</f>
        <v>0</v>
      </c>
      <c r="L822" s="17"/>
      <c r="M822" s="17">
        <f>ROUND(0,2)</f>
        <v>0</v>
      </c>
      <c r="N822" s="17">
        <f>ROUND(0,2)</f>
        <v>0</v>
      </c>
      <c r="O822" s="17">
        <f t="shared" si="457"/>
        <v>4440</v>
      </c>
      <c r="P822" s="18">
        <v>76.875</v>
      </c>
      <c r="Q822" s="18">
        <v>100</v>
      </c>
    </row>
    <row r="823" spans="1:17" ht="12.75" customHeight="1">
      <c r="A823" s="19" t="s">
        <v>564</v>
      </c>
      <c r="B823" s="19"/>
      <c r="C823" s="19"/>
      <c r="D823" s="19"/>
      <c r="E823" s="20">
        <f>SUM('DS1'!$A$219)</f>
        <v>0</v>
      </c>
      <c r="F823" s="20">
        <v>19200</v>
      </c>
      <c r="G823" s="20">
        <v>19200</v>
      </c>
      <c r="H823" s="20">
        <v>14760</v>
      </c>
      <c r="I823" s="21">
        <v>14760</v>
      </c>
      <c r="J823" s="21"/>
      <c r="K823" s="21">
        <v>14760</v>
      </c>
      <c r="L823" s="21"/>
      <c r="M823" s="20">
        <v>14760</v>
      </c>
      <c r="N823" s="20">
        <v>14760</v>
      </c>
      <c r="O823" s="20">
        <v>4440</v>
      </c>
      <c r="P823" s="22">
        <v>23.125</v>
      </c>
      <c r="Q823" s="22">
        <v>76.875</v>
      </c>
    </row>
    <row r="824" spans="1:17" ht="12.75" customHeight="1">
      <c r="A824" s="23"/>
      <c r="B824" s="24"/>
      <c r="C824" s="24"/>
      <c r="D824" s="24"/>
      <c r="E824" s="23"/>
      <c r="F824" s="20">
        <v>0</v>
      </c>
      <c r="G824" s="20">
        <v>0</v>
      </c>
      <c r="H824" s="20">
        <v>0</v>
      </c>
      <c r="I824" s="21">
        <v>0</v>
      </c>
      <c r="J824" s="21"/>
      <c r="K824" s="21">
        <v>0</v>
      </c>
      <c r="L824" s="21"/>
      <c r="M824" s="20">
        <v>0</v>
      </c>
      <c r="N824" s="20">
        <v>0</v>
      </c>
      <c r="O824" s="20">
        <v>4440</v>
      </c>
      <c r="P824" s="22">
        <v>76.875</v>
      </c>
      <c r="Q824" s="22">
        <v>100</v>
      </c>
    </row>
    <row r="825" spans="1:17" ht="20.25" customHeight="1">
      <c r="A825" s="23"/>
      <c r="B825" s="24"/>
      <c r="C825" s="24"/>
      <c r="D825" s="24"/>
      <c r="E825" s="23"/>
      <c r="F825" s="23"/>
      <c r="G825" s="23"/>
      <c r="H825" s="23"/>
      <c r="I825" s="24"/>
      <c r="J825" s="24"/>
      <c r="K825" s="24"/>
      <c r="L825" s="24"/>
      <c r="M825" s="23"/>
      <c r="N825" s="23"/>
      <c r="O825" s="23"/>
      <c r="P825" s="23"/>
      <c r="Q825" s="23"/>
    </row>
    <row r="826" spans="1:17" ht="12.75" customHeight="1">
      <c r="A826" s="19" t="s">
        <v>565</v>
      </c>
      <c r="B826" s="19"/>
      <c r="C826" s="19"/>
      <c r="D826" s="19"/>
      <c r="E826" s="20">
        <f>SUM('DS1'!$A$179:$A$219)</f>
        <v>500000</v>
      </c>
      <c r="F826" s="20">
        <v>3486580.9700000007</v>
      </c>
      <c r="G826" s="20">
        <v>3986580.9700000007</v>
      </c>
      <c r="H826" s="20">
        <v>2567531.26</v>
      </c>
      <c r="I826" s="21">
        <v>2567531.26</v>
      </c>
      <c r="J826" s="21"/>
      <c r="K826" s="21">
        <v>2563030.87</v>
      </c>
      <c r="L826" s="21"/>
      <c r="M826" s="20">
        <v>2563030.87</v>
      </c>
      <c r="N826" s="20">
        <v>2543498.23</v>
      </c>
      <c r="O826" s="20">
        <v>1417175.93</v>
      </c>
      <c r="P826" s="22">
        <v>35.54865536821141</v>
      </c>
      <c r="Q826" s="22">
        <v>64.2914539874503</v>
      </c>
    </row>
    <row r="827" spans="1:17" ht="12.75" customHeight="1">
      <c r="A827" s="23"/>
      <c r="B827" s="24"/>
      <c r="C827" s="24"/>
      <c r="D827" s="24"/>
      <c r="E827" s="23"/>
      <c r="F827" s="20">
        <v>763808.02</v>
      </c>
      <c r="G827" s="20">
        <v>1873.7800000000007</v>
      </c>
      <c r="H827" s="20">
        <v>0</v>
      </c>
      <c r="I827" s="21">
        <v>4500.39</v>
      </c>
      <c r="J827" s="21"/>
      <c r="K827" s="21">
        <v>0</v>
      </c>
      <c r="L827" s="21"/>
      <c r="M827" s="20">
        <v>19532.639999999996</v>
      </c>
      <c r="N827" s="20">
        <v>421.02</v>
      </c>
      <c r="O827" s="20">
        <v>1423550.1</v>
      </c>
      <c r="P827" s="22">
        <v>64.4043424508696</v>
      </c>
      <c r="Q827" s="22">
        <v>99.23790851570976</v>
      </c>
    </row>
    <row r="828" spans="1:17" ht="18" customHeight="1">
      <c r="A828" s="23"/>
      <c r="B828" s="24"/>
      <c r="C828" s="24"/>
      <c r="D828" s="24"/>
      <c r="E828" s="23"/>
      <c r="F828" s="23"/>
      <c r="G828" s="23"/>
      <c r="H828" s="23"/>
      <c r="I828" s="24"/>
      <c r="J828" s="24"/>
      <c r="K828" s="24"/>
      <c r="L828" s="24"/>
      <c r="M828" s="23"/>
      <c r="N828" s="23"/>
      <c r="O828" s="23"/>
      <c r="P828" s="23"/>
      <c r="Q828" s="23"/>
    </row>
    <row r="829" spans="1:17" ht="12.75" customHeight="1">
      <c r="A829" s="10"/>
      <c r="B829" s="11" t="s">
        <v>566</v>
      </c>
      <c r="C829" s="11"/>
      <c r="D829" s="11"/>
      <c r="E829" s="12">
        <f>ROUND(105000,2)</f>
        <v>105000</v>
      </c>
      <c r="F829" s="12">
        <f aca="true" t="shared" si="458" ref="F829:F830">ROUND(0,2)</f>
        <v>0</v>
      </c>
      <c r="G829" s="12">
        <f>ROUND(105000,2)</f>
        <v>105000</v>
      </c>
      <c r="H829" s="12">
        <f>ROUND(49750.73,2)</f>
        <v>49750.73</v>
      </c>
      <c r="I829" s="13">
        <f>ROUND(49750.73,2)</f>
        <v>49750.73</v>
      </c>
      <c r="J829" s="13"/>
      <c r="K829" s="13">
        <f>ROUND(21828,2)</f>
        <v>21828</v>
      </c>
      <c r="L829" s="13"/>
      <c r="M829" s="12">
        <f>ROUND(21828,2)</f>
        <v>21828</v>
      </c>
      <c r="N829" s="12">
        <f>ROUND(20972,2)</f>
        <v>20972</v>
      </c>
      <c r="O829" s="12">
        <f>ROUND(55249.27,2)</f>
        <v>55249.27</v>
      </c>
      <c r="P829" s="14">
        <v>52.61835238095238</v>
      </c>
      <c r="Q829" s="14">
        <v>20.78857142857143</v>
      </c>
    </row>
    <row r="830" spans="1:17" ht="12.75" customHeight="1">
      <c r="A830" s="15" t="s">
        <v>567</v>
      </c>
      <c r="B830" s="15"/>
      <c r="C830" s="15"/>
      <c r="D830" s="15"/>
      <c r="E830" s="16" t="s">
        <v>568</v>
      </c>
      <c r="F830" s="17">
        <f t="shared" si="458"/>
        <v>0</v>
      </c>
      <c r="G830" s="17">
        <f>ROUND(0,2)</f>
        <v>0</v>
      </c>
      <c r="H830" s="17">
        <f>ROUND(0,2)</f>
        <v>0</v>
      </c>
      <c r="I830" s="17">
        <f>ROUND(27922.73,2)</f>
        <v>27922.73</v>
      </c>
      <c r="J830" s="17"/>
      <c r="K830" s="17">
        <f>ROUND(0,2)</f>
        <v>0</v>
      </c>
      <c r="L830" s="17"/>
      <c r="M830" s="17">
        <f>ROUND(856,2)</f>
        <v>856</v>
      </c>
      <c r="N830" s="17">
        <f>ROUND(0,2)</f>
        <v>0</v>
      </c>
      <c r="O830" s="17">
        <f>ROUND(83172,2)</f>
        <v>83172</v>
      </c>
      <c r="P830" s="18">
        <v>47.38164761904763</v>
      </c>
      <c r="Q830" s="18">
        <v>96.07843137254902</v>
      </c>
    </row>
    <row r="831" spans="1:17" ht="12.75" customHeight="1">
      <c r="A831" s="19" t="s">
        <v>37</v>
      </c>
      <c r="B831" s="19"/>
      <c r="C831" s="19"/>
      <c r="D831" s="19"/>
      <c r="E831" s="20">
        <f>SUM('DS1'!$A$220)</f>
        <v>105000</v>
      </c>
      <c r="F831" s="20">
        <v>0</v>
      </c>
      <c r="G831" s="20">
        <v>105000</v>
      </c>
      <c r="H831" s="20">
        <v>49750.73</v>
      </c>
      <c r="I831" s="21">
        <v>49750.73</v>
      </c>
      <c r="J831" s="21"/>
      <c r="K831" s="21">
        <v>21828</v>
      </c>
      <c r="L831" s="21"/>
      <c r="M831" s="20">
        <v>21828</v>
      </c>
      <c r="N831" s="20">
        <v>20972</v>
      </c>
      <c r="O831" s="20">
        <v>55249.27</v>
      </c>
      <c r="P831" s="22">
        <v>52.61835238095238</v>
      </c>
      <c r="Q831" s="22">
        <v>20.78857142857143</v>
      </c>
    </row>
    <row r="832" spans="1:17" ht="12.75" customHeight="1">
      <c r="A832" s="23"/>
      <c r="B832" s="24"/>
      <c r="C832" s="24"/>
      <c r="D832" s="24"/>
      <c r="E832" s="23"/>
      <c r="F832" s="20">
        <v>0</v>
      </c>
      <c r="G832" s="20">
        <v>0</v>
      </c>
      <c r="H832" s="20">
        <v>0</v>
      </c>
      <c r="I832" s="21">
        <v>27922.730000000003</v>
      </c>
      <c r="J832" s="21"/>
      <c r="K832" s="21">
        <v>0</v>
      </c>
      <c r="L832" s="21"/>
      <c r="M832" s="20">
        <v>856</v>
      </c>
      <c r="N832" s="20">
        <v>0</v>
      </c>
      <c r="O832" s="20">
        <v>83172</v>
      </c>
      <c r="P832" s="22">
        <v>47.38164761904763</v>
      </c>
      <c r="Q832" s="22">
        <v>96.07843137254902</v>
      </c>
    </row>
    <row r="833" spans="1:17" ht="20.25" customHeight="1">
      <c r="A833" s="23"/>
      <c r="B833" s="24"/>
      <c r="C833" s="24"/>
      <c r="D833" s="24"/>
      <c r="E833" s="23"/>
      <c r="F833" s="23"/>
      <c r="G833" s="23"/>
      <c r="H833" s="23"/>
      <c r="I833" s="24"/>
      <c r="J833" s="24"/>
      <c r="K833" s="24"/>
      <c r="L833" s="24"/>
      <c r="M833" s="23"/>
      <c r="N833" s="23"/>
      <c r="O833" s="23"/>
      <c r="P833" s="23"/>
      <c r="Q833" s="23"/>
    </row>
    <row r="834" spans="1:17" ht="12.75" customHeight="1">
      <c r="A834" s="19" t="s">
        <v>569</v>
      </c>
      <c r="B834" s="19"/>
      <c r="C834" s="19"/>
      <c r="D834" s="19"/>
      <c r="E834" s="20">
        <f>SUM('DS1'!$A$220)</f>
        <v>105000</v>
      </c>
      <c r="F834" s="20">
        <v>0</v>
      </c>
      <c r="G834" s="20">
        <v>105000</v>
      </c>
      <c r="H834" s="20">
        <v>49750.73</v>
      </c>
      <c r="I834" s="21">
        <v>49750.73</v>
      </c>
      <c r="J834" s="21"/>
      <c r="K834" s="21">
        <v>21828</v>
      </c>
      <c r="L834" s="21"/>
      <c r="M834" s="20">
        <v>21828</v>
      </c>
      <c r="N834" s="20">
        <v>20972</v>
      </c>
      <c r="O834" s="20">
        <v>55249.27</v>
      </c>
      <c r="P834" s="22">
        <v>52.61835238095238</v>
      </c>
      <c r="Q834" s="22">
        <v>20.78857142857143</v>
      </c>
    </row>
    <row r="835" spans="1:17" ht="12.75" customHeight="1">
      <c r="A835" s="23"/>
      <c r="B835" s="24"/>
      <c r="C835" s="24"/>
      <c r="D835" s="24"/>
      <c r="E835" s="23"/>
      <c r="F835" s="20">
        <v>0</v>
      </c>
      <c r="G835" s="20">
        <v>0</v>
      </c>
      <c r="H835" s="20">
        <v>0</v>
      </c>
      <c r="I835" s="21">
        <v>27922.730000000003</v>
      </c>
      <c r="J835" s="21"/>
      <c r="K835" s="21">
        <v>0</v>
      </c>
      <c r="L835" s="21"/>
      <c r="M835" s="20">
        <v>856</v>
      </c>
      <c r="N835" s="20">
        <v>0</v>
      </c>
      <c r="O835" s="20">
        <v>83172</v>
      </c>
      <c r="P835" s="22">
        <v>47.38164761904763</v>
      </c>
      <c r="Q835" s="22">
        <v>96.07843137254902</v>
      </c>
    </row>
    <row r="836" spans="1:17" ht="18" customHeight="1">
      <c r="A836" s="23"/>
      <c r="B836" s="24"/>
      <c r="C836" s="24"/>
      <c r="D836" s="24"/>
      <c r="E836" s="23"/>
      <c r="F836" s="23"/>
      <c r="G836" s="23"/>
      <c r="H836" s="23"/>
      <c r="I836" s="24"/>
      <c r="J836" s="24"/>
      <c r="K836" s="24"/>
      <c r="L836" s="24"/>
      <c r="M836" s="23"/>
      <c r="N836" s="23"/>
      <c r="O836" s="23"/>
      <c r="P836" s="23"/>
      <c r="Q836" s="23"/>
    </row>
    <row r="837" spans="1:17" ht="12.75" customHeight="1">
      <c r="A837" s="10"/>
      <c r="B837" s="11" t="s">
        <v>570</v>
      </c>
      <c r="C837" s="11"/>
      <c r="D837" s="11"/>
      <c r="E837" s="12">
        <f>ROUND(16611.7,2)</f>
        <v>16611.7</v>
      </c>
      <c r="F837" s="12">
        <f>ROUND(149.51,2)</f>
        <v>149.51</v>
      </c>
      <c r="G837" s="12">
        <f>ROUND(16761.21,2)</f>
        <v>16761.21</v>
      </c>
      <c r="H837" s="12">
        <f aca="true" t="shared" si="459" ref="H837:H838">ROUND(0,2)</f>
        <v>0</v>
      </c>
      <c r="I837" s="13">
        <f aca="true" t="shared" si="460" ref="I837:I838">ROUND(0,2)</f>
        <v>0</v>
      </c>
      <c r="J837" s="13"/>
      <c r="K837" s="13">
        <f aca="true" t="shared" si="461" ref="K837:K838">ROUND(0,2)</f>
        <v>0</v>
      </c>
      <c r="L837" s="13"/>
      <c r="M837" s="12">
        <f aca="true" t="shared" si="462" ref="M837:M838">ROUND(0,2)</f>
        <v>0</v>
      </c>
      <c r="N837" s="12">
        <f aca="true" t="shared" si="463" ref="N837:N838">ROUND(0,2)</f>
        <v>0</v>
      </c>
      <c r="O837" s="12">
        <f aca="true" t="shared" si="464" ref="O837:O838">ROUND(16761.21,2)</f>
        <v>16761.21</v>
      </c>
      <c r="P837" s="14">
        <v>100</v>
      </c>
      <c r="Q837" s="14">
        <v>0</v>
      </c>
    </row>
    <row r="838" spans="1:17" ht="12.75" customHeight="1">
      <c r="A838" s="15" t="s">
        <v>571</v>
      </c>
      <c r="B838" s="15"/>
      <c r="C838" s="15"/>
      <c r="D838" s="15"/>
      <c r="E838" s="16" t="s">
        <v>572</v>
      </c>
      <c r="F838" s="17">
        <f>ROUND(0,2)</f>
        <v>0</v>
      </c>
      <c r="G838" s="17">
        <f>ROUND(0,2)</f>
        <v>0</v>
      </c>
      <c r="H838" s="17">
        <f t="shared" si="459"/>
        <v>0</v>
      </c>
      <c r="I838" s="17">
        <f t="shared" si="460"/>
        <v>0</v>
      </c>
      <c r="J838" s="17"/>
      <c r="K838" s="17">
        <f t="shared" si="461"/>
        <v>0</v>
      </c>
      <c r="L838" s="17"/>
      <c r="M838" s="17">
        <f t="shared" si="462"/>
        <v>0</v>
      </c>
      <c r="N838" s="17">
        <f t="shared" si="463"/>
        <v>0</v>
      </c>
      <c r="O838" s="17">
        <f t="shared" si="464"/>
        <v>16761.21</v>
      </c>
      <c r="P838" s="18">
        <v>0</v>
      </c>
      <c r="Q838" s="18">
        <v>0</v>
      </c>
    </row>
    <row r="839" spans="1:17" ht="12.75" customHeight="1">
      <c r="A839" s="19" t="s">
        <v>161</v>
      </c>
      <c r="B839" s="19"/>
      <c r="C839" s="19"/>
      <c r="D839" s="19"/>
      <c r="E839" s="20">
        <f>SUM('DS1'!$A$221)</f>
        <v>16611.7</v>
      </c>
      <c r="F839" s="20">
        <v>149.51</v>
      </c>
      <c r="G839" s="20">
        <v>16761.21</v>
      </c>
      <c r="H839" s="20">
        <v>0</v>
      </c>
      <c r="I839" s="21">
        <v>0</v>
      </c>
      <c r="J839" s="21"/>
      <c r="K839" s="21">
        <v>0</v>
      </c>
      <c r="L839" s="21"/>
      <c r="M839" s="20">
        <v>0</v>
      </c>
      <c r="N839" s="20">
        <v>0</v>
      </c>
      <c r="O839" s="20">
        <v>16761.21</v>
      </c>
      <c r="P839" s="22">
        <v>100</v>
      </c>
      <c r="Q839" s="22">
        <v>0</v>
      </c>
    </row>
    <row r="840" spans="1:17" ht="12.75" customHeight="1">
      <c r="A840" s="23"/>
      <c r="B840" s="24"/>
      <c r="C840" s="24"/>
      <c r="D840" s="24"/>
      <c r="E840" s="23"/>
      <c r="F840" s="20">
        <v>0</v>
      </c>
      <c r="G840" s="20">
        <v>0</v>
      </c>
      <c r="H840" s="20">
        <v>0</v>
      </c>
      <c r="I840" s="21">
        <v>0</v>
      </c>
      <c r="J840" s="21"/>
      <c r="K840" s="21">
        <v>0</v>
      </c>
      <c r="L840" s="21"/>
      <c r="M840" s="20">
        <v>0</v>
      </c>
      <c r="N840" s="20">
        <v>0</v>
      </c>
      <c r="O840" s="20">
        <v>16761.21</v>
      </c>
      <c r="P840" s="22">
        <v>0</v>
      </c>
      <c r="Q840" s="22">
        <v>0</v>
      </c>
    </row>
    <row r="841" spans="1:17" ht="20.25" customHeight="1">
      <c r="A841" s="23"/>
      <c r="B841" s="24"/>
      <c r="C841" s="24"/>
      <c r="D841" s="24"/>
      <c r="E841" s="23"/>
      <c r="F841" s="23"/>
      <c r="G841" s="23"/>
      <c r="H841" s="23"/>
      <c r="I841" s="24"/>
      <c r="J841" s="24"/>
      <c r="K841" s="24"/>
      <c r="L841" s="24"/>
      <c r="M841" s="23"/>
      <c r="N841" s="23"/>
      <c r="O841" s="23"/>
      <c r="P841" s="23"/>
      <c r="Q841" s="23"/>
    </row>
    <row r="842" spans="1:17" ht="12.75" customHeight="1">
      <c r="A842" s="10"/>
      <c r="B842" s="11" t="s">
        <v>573</v>
      </c>
      <c r="C842" s="11"/>
      <c r="D842" s="11"/>
      <c r="E842" s="12">
        <f>ROUND(586007.52,2)</f>
        <v>586007.52</v>
      </c>
      <c r="F842" s="12">
        <f>ROUND(5274.07,2)</f>
        <v>5274.07</v>
      </c>
      <c r="G842" s="12">
        <f>ROUND(591281.59,2)</f>
        <v>591281.59</v>
      </c>
      <c r="H842" s="12">
        <f>ROUND(501198.47,2)</f>
        <v>501198.47</v>
      </c>
      <c r="I842" s="13">
        <f>ROUND(501198.47,2)</f>
        <v>501198.47</v>
      </c>
      <c r="J842" s="13"/>
      <c r="K842" s="13">
        <f>ROUND(501198.47,2)</f>
        <v>501198.47</v>
      </c>
      <c r="L842" s="13"/>
      <c r="M842" s="12">
        <f>ROUND(501198.47,2)</f>
        <v>501198.47</v>
      </c>
      <c r="N842" s="12">
        <f>ROUND(501198.47,2)</f>
        <v>501198.47</v>
      </c>
      <c r="O842" s="12">
        <f aca="true" t="shared" si="465" ref="O842:O843">ROUND(90083.12,2)</f>
        <v>90083.12</v>
      </c>
      <c r="P842" s="14">
        <v>15.235231660096165</v>
      </c>
      <c r="Q842" s="14">
        <v>84.76476833990384</v>
      </c>
    </row>
    <row r="843" spans="1:17" ht="12.75" customHeight="1">
      <c r="A843" s="15" t="s">
        <v>574</v>
      </c>
      <c r="B843" s="15"/>
      <c r="C843" s="15"/>
      <c r="D843" s="15"/>
      <c r="E843" s="16" t="s">
        <v>572</v>
      </c>
      <c r="F843" s="17">
        <f>ROUND(0,2)</f>
        <v>0</v>
      </c>
      <c r="G843" s="17">
        <f>ROUND(0,2)</f>
        <v>0</v>
      </c>
      <c r="H843" s="17">
        <f>ROUND(0,2)</f>
        <v>0</v>
      </c>
      <c r="I843" s="17">
        <f>ROUND(0,2)</f>
        <v>0</v>
      </c>
      <c r="J843" s="17"/>
      <c r="K843" s="17">
        <f>ROUND(0,2)</f>
        <v>0</v>
      </c>
      <c r="L843" s="17"/>
      <c r="M843" s="17">
        <f>ROUND(0,2)</f>
        <v>0</v>
      </c>
      <c r="N843" s="17">
        <f>ROUND(0,2)</f>
        <v>0</v>
      </c>
      <c r="O843" s="17">
        <f t="shared" si="465"/>
        <v>90083.12</v>
      </c>
      <c r="P843" s="18">
        <v>84.76476833990384</v>
      </c>
      <c r="Q843" s="18">
        <v>100</v>
      </c>
    </row>
    <row r="844" spans="1:17" ht="12.75" customHeight="1">
      <c r="A844" s="19" t="s">
        <v>60</v>
      </c>
      <c r="B844" s="19"/>
      <c r="C844" s="19"/>
      <c r="D844" s="19"/>
      <c r="E844" s="20">
        <f>SUM('DS1'!$A$222)</f>
        <v>586007.52</v>
      </c>
      <c r="F844" s="20">
        <v>5274.07</v>
      </c>
      <c r="G844" s="20">
        <v>591281.59</v>
      </c>
      <c r="H844" s="20">
        <v>501198.47</v>
      </c>
      <c r="I844" s="21">
        <v>501198.47</v>
      </c>
      <c r="J844" s="21"/>
      <c r="K844" s="21">
        <v>501198.47</v>
      </c>
      <c r="L844" s="21"/>
      <c r="M844" s="20">
        <v>501198.47</v>
      </c>
      <c r="N844" s="20">
        <v>501198.47</v>
      </c>
      <c r="O844" s="20">
        <v>90083.12</v>
      </c>
      <c r="P844" s="22">
        <v>15.235231660096165</v>
      </c>
      <c r="Q844" s="22">
        <v>84.76476833990384</v>
      </c>
    </row>
    <row r="845" spans="1:17" ht="12.75" customHeight="1">
      <c r="A845" s="23"/>
      <c r="B845" s="24"/>
      <c r="C845" s="24"/>
      <c r="D845" s="24"/>
      <c r="E845" s="23"/>
      <c r="F845" s="20">
        <v>0</v>
      </c>
      <c r="G845" s="20">
        <v>0</v>
      </c>
      <c r="H845" s="20">
        <v>0</v>
      </c>
      <c r="I845" s="21">
        <v>0</v>
      </c>
      <c r="J845" s="21"/>
      <c r="K845" s="21">
        <v>0</v>
      </c>
      <c r="L845" s="21"/>
      <c r="M845" s="20">
        <v>0</v>
      </c>
      <c r="N845" s="20">
        <v>0</v>
      </c>
      <c r="O845" s="20">
        <v>90083.12</v>
      </c>
      <c r="P845" s="22">
        <v>84.76476833990384</v>
      </c>
      <c r="Q845" s="22">
        <v>100</v>
      </c>
    </row>
    <row r="846" spans="1:17" ht="20.25" customHeight="1">
      <c r="A846" s="23"/>
      <c r="B846" s="24"/>
      <c r="C846" s="24"/>
      <c r="D846" s="24"/>
      <c r="E846" s="23"/>
      <c r="F846" s="23"/>
      <c r="G846" s="23"/>
      <c r="H846" s="23"/>
      <c r="I846" s="24"/>
      <c r="J846" s="24"/>
      <c r="K846" s="24"/>
      <c r="L846" s="24"/>
      <c r="M846" s="23"/>
      <c r="N846" s="23"/>
      <c r="O846" s="23"/>
      <c r="P846" s="23"/>
      <c r="Q846" s="23"/>
    </row>
    <row r="847" spans="1:17" ht="12.75" customHeight="1">
      <c r="A847" s="10"/>
      <c r="B847" s="11" t="s">
        <v>575</v>
      </c>
      <c r="C847" s="11"/>
      <c r="D847" s="11"/>
      <c r="E847" s="12">
        <f>ROUND(28000,2)</f>
        <v>28000</v>
      </c>
      <c r="F847" s="12">
        <f>ROUND(252,2)</f>
        <v>252</v>
      </c>
      <c r="G847" s="12">
        <f>ROUND(28252,2)</f>
        <v>28252</v>
      </c>
      <c r="H847" s="12">
        <f>ROUND(19553.62,2)</f>
        <v>19553.62</v>
      </c>
      <c r="I847" s="13">
        <f>ROUND(19553.62,2)</f>
        <v>19553.62</v>
      </c>
      <c r="J847" s="13"/>
      <c r="K847" s="13">
        <f>ROUND(19553.62,2)</f>
        <v>19553.62</v>
      </c>
      <c r="L847" s="13"/>
      <c r="M847" s="12">
        <f>ROUND(19553.62,2)</f>
        <v>19553.62</v>
      </c>
      <c r="N847" s="12">
        <f>ROUND(19553.62,2)</f>
        <v>19553.62</v>
      </c>
      <c r="O847" s="12">
        <f>ROUND(8698.38,2)</f>
        <v>8698.38</v>
      </c>
      <c r="P847" s="14">
        <v>30.788545943650004</v>
      </c>
      <c r="Q847" s="14">
        <v>69.21145405635</v>
      </c>
    </row>
    <row r="848" spans="1:17" ht="12.75" customHeight="1">
      <c r="A848" s="15" t="s">
        <v>574</v>
      </c>
      <c r="B848" s="15"/>
      <c r="C848" s="15"/>
      <c r="D848" s="15"/>
      <c r="E848" s="16" t="s">
        <v>572</v>
      </c>
      <c r="F848" s="17">
        <f>ROUND(0,2)</f>
        <v>0</v>
      </c>
      <c r="G848" s="17">
        <f>ROUND(0,2)</f>
        <v>0</v>
      </c>
      <c r="H848" s="17">
        <f>ROUND(0,2)</f>
        <v>0</v>
      </c>
      <c r="I848" s="17">
        <f>ROUND(0,2)</f>
        <v>0</v>
      </c>
      <c r="J848" s="17"/>
      <c r="K848" s="17">
        <f>ROUND(0,2)</f>
        <v>0</v>
      </c>
      <c r="L848" s="17"/>
      <c r="M848" s="17">
        <f>ROUND(0,2)</f>
        <v>0</v>
      </c>
      <c r="N848" s="17">
        <f>ROUND(0,2)</f>
        <v>0</v>
      </c>
      <c r="O848" s="17">
        <f>ROUND(8698.38,2)</f>
        <v>8698.38</v>
      </c>
      <c r="P848" s="18">
        <v>69.21145405635</v>
      </c>
      <c r="Q848" s="18">
        <v>100</v>
      </c>
    </row>
    <row r="849" spans="1:17" ht="12.75" customHeight="1">
      <c r="A849" s="19" t="s">
        <v>264</v>
      </c>
      <c r="B849" s="19"/>
      <c r="C849" s="19"/>
      <c r="D849" s="19"/>
      <c r="E849" s="20">
        <f>SUM('DS1'!$A$223)</f>
        <v>28000</v>
      </c>
      <c r="F849" s="20">
        <v>252</v>
      </c>
      <c r="G849" s="20">
        <v>28252</v>
      </c>
      <c r="H849" s="20">
        <v>19553.62</v>
      </c>
      <c r="I849" s="21">
        <v>19553.62</v>
      </c>
      <c r="J849" s="21"/>
      <c r="K849" s="21">
        <v>19553.62</v>
      </c>
      <c r="L849" s="21"/>
      <c r="M849" s="20">
        <v>19553.62</v>
      </c>
      <c r="N849" s="20">
        <v>19553.62</v>
      </c>
      <c r="O849" s="20">
        <v>8698.38</v>
      </c>
      <c r="P849" s="22">
        <v>30.788545943650004</v>
      </c>
      <c r="Q849" s="22">
        <v>69.21145405635</v>
      </c>
    </row>
    <row r="850" spans="1:17" ht="12.75" customHeight="1">
      <c r="A850" s="23"/>
      <c r="B850" s="24"/>
      <c r="C850" s="24"/>
      <c r="D850" s="24"/>
      <c r="E850" s="23"/>
      <c r="F850" s="20">
        <v>0</v>
      </c>
      <c r="G850" s="20">
        <v>0</v>
      </c>
      <c r="H850" s="20">
        <v>0</v>
      </c>
      <c r="I850" s="21">
        <v>0</v>
      </c>
      <c r="J850" s="21"/>
      <c r="K850" s="21">
        <v>0</v>
      </c>
      <c r="L850" s="21"/>
      <c r="M850" s="20">
        <v>0</v>
      </c>
      <c r="N850" s="20">
        <v>0</v>
      </c>
      <c r="O850" s="20">
        <v>8698.380000000001</v>
      </c>
      <c r="P850" s="22">
        <v>69.21145405635</v>
      </c>
      <c r="Q850" s="22">
        <v>100</v>
      </c>
    </row>
    <row r="851" spans="1:17" ht="20.25" customHeight="1">
      <c r="A851" s="23"/>
      <c r="B851" s="24"/>
      <c r="C851" s="24"/>
      <c r="D851" s="24"/>
      <c r="E851" s="23"/>
      <c r="F851" s="23"/>
      <c r="G851" s="23"/>
      <c r="H851" s="23"/>
      <c r="I851" s="24"/>
      <c r="J851" s="24"/>
      <c r="K851" s="24"/>
      <c r="L851" s="24"/>
      <c r="M851" s="23"/>
      <c r="N851" s="23"/>
      <c r="O851" s="23"/>
      <c r="P851" s="23"/>
      <c r="Q851" s="23"/>
    </row>
    <row r="852" spans="1:17" ht="12.75" customHeight="1">
      <c r="A852" s="10"/>
      <c r="B852" s="11" t="s">
        <v>576</v>
      </c>
      <c r="C852" s="11"/>
      <c r="D852" s="11"/>
      <c r="E852" s="12">
        <f>ROUND(188639.82,2)</f>
        <v>188639.82</v>
      </c>
      <c r="F852" s="12">
        <f>ROUND(1697.76,2)</f>
        <v>1697.76</v>
      </c>
      <c r="G852" s="12">
        <f>ROUND(190337.58,2)</f>
        <v>190337.58</v>
      </c>
      <c r="H852" s="12">
        <f>ROUND(170068.89,2)</f>
        <v>170068.89</v>
      </c>
      <c r="I852" s="13">
        <f>ROUND(170068.89,2)</f>
        <v>170068.89</v>
      </c>
      <c r="J852" s="13"/>
      <c r="K852" s="13">
        <f>ROUND(170068.89,2)</f>
        <v>170068.89</v>
      </c>
      <c r="L852" s="13"/>
      <c r="M852" s="12">
        <f>ROUND(170068.89,2)</f>
        <v>170068.89</v>
      </c>
      <c r="N852" s="12">
        <f>ROUND(170068.89,2)</f>
        <v>170068.89</v>
      </c>
      <c r="O852" s="12">
        <f aca="true" t="shared" si="466" ref="O852:O853">ROUND(20268.69,2)</f>
        <v>20268.69</v>
      </c>
      <c r="P852" s="14">
        <v>10.648811443331368</v>
      </c>
      <c r="Q852" s="14">
        <v>89.35118855666863</v>
      </c>
    </row>
    <row r="853" spans="1:17" ht="12.75" customHeight="1">
      <c r="A853" s="15" t="s">
        <v>577</v>
      </c>
      <c r="B853" s="15"/>
      <c r="C853" s="15"/>
      <c r="D853" s="15"/>
      <c r="E853" s="16" t="s">
        <v>572</v>
      </c>
      <c r="F853" s="17">
        <f>ROUND(0,2)</f>
        <v>0</v>
      </c>
      <c r="G853" s="17">
        <f>ROUND(0,2)</f>
        <v>0</v>
      </c>
      <c r="H853" s="17">
        <f>ROUND(0,2)</f>
        <v>0</v>
      </c>
      <c r="I853" s="17">
        <f>ROUND(0,2)</f>
        <v>0</v>
      </c>
      <c r="J853" s="17"/>
      <c r="K853" s="17">
        <f>ROUND(0,2)</f>
        <v>0</v>
      </c>
      <c r="L853" s="17"/>
      <c r="M853" s="17">
        <f>ROUND(0,2)</f>
        <v>0</v>
      </c>
      <c r="N853" s="17">
        <f>ROUND(0,2)</f>
        <v>0</v>
      </c>
      <c r="O853" s="17">
        <f t="shared" si="466"/>
        <v>20268.69</v>
      </c>
      <c r="P853" s="18">
        <v>89.35118855666863</v>
      </c>
      <c r="Q853" s="18">
        <v>100</v>
      </c>
    </row>
    <row r="854" spans="1:17" ht="12.75" customHeight="1">
      <c r="A854" s="10"/>
      <c r="B854" s="11" t="s">
        <v>578</v>
      </c>
      <c r="C854" s="11"/>
      <c r="D854" s="11"/>
      <c r="E854" s="12">
        <f>ROUND(8000,2)</f>
        <v>8000</v>
      </c>
      <c r="F854" s="12">
        <f>ROUND(72,2)</f>
        <v>72</v>
      </c>
      <c r="G854" s="12">
        <f>ROUND(8072,2)</f>
        <v>8072</v>
      </c>
      <c r="H854" s="12">
        <f>ROUND(4379.09,2)</f>
        <v>4379.09</v>
      </c>
      <c r="I854" s="13">
        <f>ROUND(4379.09,2)</f>
        <v>4379.09</v>
      </c>
      <c r="J854" s="13"/>
      <c r="K854" s="13">
        <f>ROUND(4379.09,2)</f>
        <v>4379.09</v>
      </c>
      <c r="L854" s="13"/>
      <c r="M854" s="12">
        <f>ROUND(4379.09,2)</f>
        <v>4379.09</v>
      </c>
      <c r="N854" s="12">
        <f>ROUND(4379.09,2)</f>
        <v>4379.09</v>
      </c>
      <c r="O854" s="12">
        <f aca="true" t="shared" si="467" ref="O854:O855">ROUND(3692.91,2)</f>
        <v>3692.91</v>
      </c>
      <c r="P854" s="14">
        <v>45.74962834489594</v>
      </c>
      <c r="Q854" s="14">
        <v>54.25037165510407</v>
      </c>
    </row>
    <row r="855" spans="1:17" ht="12.75" customHeight="1">
      <c r="A855" s="15" t="s">
        <v>579</v>
      </c>
      <c r="B855" s="15"/>
      <c r="C855" s="15"/>
      <c r="D855" s="15"/>
      <c r="E855" s="16" t="s">
        <v>572</v>
      </c>
      <c r="F855" s="17">
        <f>ROUND(0,2)</f>
        <v>0</v>
      </c>
      <c r="G855" s="17">
        <f>ROUND(0,2)</f>
        <v>0</v>
      </c>
      <c r="H855" s="17">
        <f aca="true" t="shared" si="468" ref="H855:H857">ROUND(0,2)</f>
        <v>0</v>
      </c>
      <c r="I855" s="17">
        <f aca="true" t="shared" si="469" ref="I855:I857">ROUND(0,2)</f>
        <v>0</v>
      </c>
      <c r="J855" s="17"/>
      <c r="K855" s="17">
        <f aca="true" t="shared" si="470" ref="K855:K857">ROUND(0,2)</f>
        <v>0</v>
      </c>
      <c r="L855" s="17"/>
      <c r="M855" s="17">
        <f aca="true" t="shared" si="471" ref="M855:M857">ROUND(0,2)</f>
        <v>0</v>
      </c>
      <c r="N855" s="17">
        <f aca="true" t="shared" si="472" ref="N855:N857">ROUND(0,2)</f>
        <v>0</v>
      </c>
      <c r="O855" s="17">
        <f t="shared" si="467"/>
        <v>3692.91</v>
      </c>
      <c r="P855" s="18">
        <v>54.25037165510407</v>
      </c>
      <c r="Q855" s="18">
        <v>100</v>
      </c>
    </row>
    <row r="856" spans="1:17" ht="12.75" customHeight="1">
      <c r="A856" s="10"/>
      <c r="B856" s="11" t="s">
        <v>580</v>
      </c>
      <c r="C856" s="11"/>
      <c r="D856" s="11"/>
      <c r="E856" s="12">
        <f>ROUND(6934.32,2)</f>
        <v>6934.32</v>
      </c>
      <c r="F856" s="12">
        <f>ROUND(62.41,2)</f>
        <v>62.41</v>
      </c>
      <c r="G856" s="12">
        <f>ROUND(6996.73,2)</f>
        <v>6996.73</v>
      </c>
      <c r="H856" s="12">
        <f t="shared" si="468"/>
        <v>0</v>
      </c>
      <c r="I856" s="13">
        <f t="shared" si="469"/>
        <v>0</v>
      </c>
      <c r="J856" s="13"/>
      <c r="K856" s="13">
        <f t="shared" si="470"/>
        <v>0</v>
      </c>
      <c r="L856" s="13"/>
      <c r="M856" s="12">
        <f t="shared" si="471"/>
        <v>0</v>
      </c>
      <c r="N856" s="12">
        <f t="shared" si="472"/>
        <v>0</v>
      </c>
      <c r="O856" s="12">
        <f aca="true" t="shared" si="473" ref="O856:O857">ROUND(6996.73,2)</f>
        <v>6996.73</v>
      </c>
      <c r="P856" s="14">
        <v>100</v>
      </c>
      <c r="Q856" s="14">
        <v>0</v>
      </c>
    </row>
    <row r="857" spans="1:17" ht="12.75" customHeight="1">
      <c r="A857" s="15" t="s">
        <v>577</v>
      </c>
      <c r="B857" s="15"/>
      <c r="C857" s="15"/>
      <c r="D857" s="15"/>
      <c r="E857" s="16" t="s">
        <v>572</v>
      </c>
      <c r="F857" s="17">
        <f>ROUND(0,2)</f>
        <v>0</v>
      </c>
      <c r="G857" s="17">
        <f>ROUND(0,2)</f>
        <v>0</v>
      </c>
      <c r="H857" s="17">
        <f t="shared" si="468"/>
        <v>0</v>
      </c>
      <c r="I857" s="17">
        <f t="shared" si="469"/>
        <v>0</v>
      </c>
      <c r="J857" s="17"/>
      <c r="K857" s="17">
        <f t="shared" si="470"/>
        <v>0</v>
      </c>
      <c r="L857" s="17"/>
      <c r="M857" s="17">
        <f t="shared" si="471"/>
        <v>0</v>
      </c>
      <c r="N857" s="17">
        <f t="shared" si="472"/>
        <v>0</v>
      </c>
      <c r="O857" s="17">
        <f t="shared" si="473"/>
        <v>6996.73</v>
      </c>
      <c r="P857" s="18">
        <v>0</v>
      </c>
      <c r="Q857" s="18">
        <v>0</v>
      </c>
    </row>
    <row r="858" spans="1:17" ht="12.75" customHeight="1">
      <c r="A858" s="19" t="s">
        <v>68</v>
      </c>
      <c r="B858" s="19"/>
      <c r="C858" s="19"/>
      <c r="D858" s="19"/>
      <c r="E858" s="20">
        <f>SUM('DS1'!$A$224:$A$226)</f>
        <v>203574.14</v>
      </c>
      <c r="F858" s="20">
        <v>1832.17</v>
      </c>
      <c r="G858" s="20">
        <v>205406.31000000003</v>
      </c>
      <c r="H858" s="20">
        <v>174447.98</v>
      </c>
      <c r="I858" s="21">
        <v>174447.98</v>
      </c>
      <c r="J858" s="21"/>
      <c r="K858" s="21">
        <v>174447.98</v>
      </c>
      <c r="L858" s="21"/>
      <c r="M858" s="20">
        <v>174447.98</v>
      </c>
      <c r="N858" s="20">
        <v>174447.98</v>
      </c>
      <c r="O858" s="20">
        <v>30958.33</v>
      </c>
      <c r="P858" s="22">
        <v>15.071752177428237</v>
      </c>
      <c r="Q858" s="22">
        <v>84.92824782257176</v>
      </c>
    </row>
    <row r="859" spans="1:17" ht="12.75" customHeight="1">
      <c r="A859" s="23"/>
      <c r="B859" s="24"/>
      <c r="C859" s="24"/>
      <c r="D859" s="24"/>
      <c r="E859" s="23"/>
      <c r="F859" s="20">
        <v>0</v>
      </c>
      <c r="G859" s="20">
        <v>0</v>
      </c>
      <c r="H859" s="20">
        <v>0</v>
      </c>
      <c r="I859" s="21">
        <v>0</v>
      </c>
      <c r="J859" s="21"/>
      <c r="K859" s="21">
        <v>0</v>
      </c>
      <c r="L859" s="21"/>
      <c r="M859" s="20">
        <v>0</v>
      </c>
      <c r="N859" s="20">
        <v>0</v>
      </c>
      <c r="O859" s="20">
        <v>30958.33</v>
      </c>
      <c r="P859" s="22">
        <v>84.92824782257176</v>
      </c>
      <c r="Q859" s="22">
        <v>100</v>
      </c>
    </row>
    <row r="860" spans="1:17" ht="20.25" customHeight="1">
      <c r="A860" s="23"/>
      <c r="B860" s="24"/>
      <c r="C860" s="24"/>
      <c r="D860" s="24"/>
      <c r="E860" s="23"/>
      <c r="F860" s="23"/>
      <c r="G860" s="23"/>
      <c r="H860" s="23"/>
      <c r="I860" s="24"/>
      <c r="J860" s="24"/>
      <c r="K860" s="24"/>
      <c r="L860" s="24"/>
      <c r="M860" s="23"/>
      <c r="N860" s="23"/>
      <c r="O860" s="23"/>
      <c r="P860" s="23"/>
      <c r="Q860" s="23"/>
    </row>
    <row r="861" spans="1:17" ht="12.75" customHeight="1">
      <c r="A861" s="10"/>
      <c r="B861" s="11" t="s">
        <v>581</v>
      </c>
      <c r="C861" s="11"/>
      <c r="D861" s="11"/>
      <c r="E861" s="12">
        <f>ROUND(40000,2)</f>
        <v>40000</v>
      </c>
      <c r="F861" s="12">
        <f aca="true" t="shared" si="474" ref="F861:F862">ROUND(0,2)</f>
        <v>0</v>
      </c>
      <c r="G861" s="12">
        <f>ROUND(40000,2)</f>
        <v>40000</v>
      </c>
      <c r="H861" s="12">
        <f>ROUND(33600,2)</f>
        <v>33600</v>
      </c>
      <c r="I861" s="13">
        <f>ROUND(33600,2)</f>
        <v>33600</v>
      </c>
      <c r="J861" s="13"/>
      <c r="K861" s="13">
        <f>ROUND(33600,2)</f>
        <v>33600</v>
      </c>
      <c r="L861" s="13"/>
      <c r="M861" s="12">
        <f>ROUND(33600,2)</f>
        <v>33600</v>
      </c>
      <c r="N861" s="12">
        <f>ROUND(28000,2)</f>
        <v>28000</v>
      </c>
      <c r="O861" s="12">
        <f aca="true" t="shared" si="475" ref="O861:O862">ROUND(6400,2)</f>
        <v>6400</v>
      </c>
      <c r="P861" s="14">
        <v>16</v>
      </c>
      <c r="Q861" s="14">
        <v>84</v>
      </c>
    </row>
    <row r="862" spans="1:17" ht="12.75" customHeight="1">
      <c r="A862" s="15" t="s">
        <v>582</v>
      </c>
      <c r="B862" s="15"/>
      <c r="C862" s="15"/>
      <c r="D862" s="15"/>
      <c r="E862" s="16" t="s">
        <v>583</v>
      </c>
      <c r="F862" s="17">
        <f t="shared" si="474"/>
        <v>0</v>
      </c>
      <c r="G862" s="17">
        <f>ROUND(0,2)</f>
        <v>0</v>
      </c>
      <c r="H862" s="17">
        <f>ROUND(0,2)</f>
        <v>0</v>
      </c>
      <c r="I862" s="17">
        <f>ROUND(0,2)</f>
        <v>0</v>
      </c>
      <c r="J862" s="17"/>
      <c r="K862" s="17">
        <f>ROUND(0,2)</f>
        <v>0</v>
      </c>
      <c r="L862" s="17"/>
      <c r="M862" s="17">
        <f>ROUND(5600,2)</f>
        <v>5600</v>
      </c>
      <c r="N862" s="17">
        <f>ROUND(0,2)</f>
        <v>0</v>
      </c>
      <c r="O862" s="17">
        <f t="shared" si="475"/>
        <v>6400</v>
      </c>
      <c r="P862" s="18">
        <v>84</v>
      </c>
      <c r="Q862" s="18">
        <v>83.33333333333334</v>
      </c>
    </row>
    <row r="863" spans="1:17" ht="12.75" customHeight="1">
      <c r="A863" s="19" t="s">
        <v>271</v>
      </c>
      <c r="B863" s="19"/>
      <c r="C863" s="19"/>
      <c r="D863" s="19"/>
      <c r="E863" s="20">
        <f>SUM('DS1'!$A$227)</f>
        <v>40000</v>
      </c>
      <c r="F863" s="20">
        <v>0</v>
      </c>
      <c r="G863" s="20">
        <v>40000</v>
      </c>
      <c r="H863" s="20">
        <v>33600</v>
      </c>
      <c r="I863" s="21">
        <v>33600</v>
      </c>
      <c r="J863" s="21"/>
      <c r="K863" s="21">
        <v>33600</v>
      </c>
      <c r="L863" s="21"/>
      <c r="M863" s="20">
        <v>33600</v>
      </c>
      <c r="N863" s="20">
        <v>28000</v>
      </c>
      <c r="O863" s="20">
        <v>6400</v>
      </c>
      <c r="P863" s="22">
        <v>16</v>
      </c>
      <c r="Q863" s="22">
        <v>84</v>
      </c>
    </row>
    <row r="864" spans="1:17" ht="12.75" customHeight="1">
      <c r="A864" s="23"/>
      <c r="B864" s="24"/>
      <c r="C864" s="24"/>
      <c r="D864" s="24"/>
      <c r="E864" s="23"/>
      <c r="F864" s="20">
        <v>0</v>
      </c>
      <c r="G864" s="20">
        <v>0</v>
      </c>
      <c r="H864" s="20">
        <v>0</v>
      </c>
      <c r="I864" s="21">
        <v>0</v>
      </c>
      <c r="J864" s="21"/>
      <c r="K864" s="21">
        <v>0</v>
      </c>
      <c r="L864" s="21"/>
      <c r="M864" s="20">
        <v>5600</v>
      </c>
      <c r="N864" s="20">
        <v>0</v>
      </c>
      <c r="O864" s="20">
        <v>6400</v>
      </c>
      <c r="P864" s="22">
        <v>84</v>
      </c>
      <c r="Q864" s="22">
        <v>83.33333333333334</v>
      </c>
    </row>
    <row r="865" spans="1:17" ht="20.25" customHeight="1">
      <c r="A865" s="23"/>
      <c r="B865" s="24"/>
      <c r="C865" s="24"/>
      <c r="D865" s="24"/>
      <c r="E865" s="23"/>
      <c r="F865" s="23"/>
      <c r="G865" s="23"/>
      <c r="H865" s="23"/>
      <c r="I865" s="24"/>
      <c r="J865" s="24"/>
      <c r="K865" s="24"/>
      <c r="L865" s="24"/>
      <c r="M865" s="23"/>
      <c r="N865" s="23"/>
      <c r="O865" s="23"/>
      <c r="P865" s="23"/>
      <c r="Q865" s="23"/>
    </row>
    <row r="866" spans="1:17" ht="12.75" customHeight="1">
      <c r="A866" s="10"/>
      <c r="B866" s="11" t="s">
        <v>584</v>
      </c>
      <c r="C866" s="11"/>
      <c r="D866" s="11"/>
      <c r="E866" s="12">
        <f>ROUND(0,2)</f>
        <v>0</v>
      </c>
      <c r="F866" s="12">
        <f>ROUND(40000,2)</f>
        <v>40000</v>
      </c>
      <c r="G866" s="12">
        <f aca="true" t="shared" si="476" ref="G866:G867">ROUND(40000,2)</f>
        <v>40000</v>
      </c>
      <c r="H866" s="12">
        <f aca="true" t="shared" si="477" ref="H866:H867">ROUND(0,2)</f>
        <v>0</v>
      </c>
      <c r="I866" s="13">
        <f aca="true" t="shared" si="478" ref="I866:I867">ROUND(0,2)</f>
        <v>0</v>
      </c>
      <c r="J866" s="13"/>
      <c r="K866" s="13">
        <f aca="true" t="shared" si="479" ref="K866:K867">ROUND(0,2)</f>
        <v>0</v>
      </c>
      <c r="L866" s="13"/>
      <c r="M866" s="12">
        <f aca="true" t="shared" si="480" ref="M866:M867">ROUND(0,2)</f>
        <v>0</v>
      </c>
      <c r="N866" s="12">
        <f aca="true" t="shared" si="481" ref="N866:N867">ROUND(0,2)</f>
        <v>0</v>
      </c>
      <c r="O866" s="12">
        <f>ROUND(0,2)</f>
        <v>0</v>
      </c>
      <c r="P866" s="14">
        <v>0</v>
      </c>
      <c r="Q866" s="14">
        <v>0</v>
      </c>
    </row>
    <row r="867" spans="1:17" ht="12.75" customHeight="1">
      <c r="A867" s="15" t="s">
        <v>585</v>
      </c>
      <c r="B867" s="15"/>
      <c r="C867" s="15"/>
      <c r="D867" s="15"/>
      <c r="E867" s="16" t="s">
        <v>586</v>
      </c>
      <c r="F867" s="17">
        <f>ROUND(0,2)</f>
        <v>0</v>
      </c>
      <c r="G867" s="17">
        <f t="shared" si="476"/>
        <v>40000</v>
      </c>
      <c r="H867" s="17">
        <f t="shared" si="477"/>
        <v>0</v>
      </c>
      <c r="I867" s="17">
        <f t="shared" si="478"/>
        <v>0</v>
      </c>
      <c r="J867" s="17"/>
      <c r="K867" s="17">
        <f t="shared" si="479"/>
        <v>0</v>
      </c>
      <c r="L867" s="17"/>
      <c r="M867" s="17">
        <f t="shared" si="480"/>
        <v>0</v>
      </c>
      <c r="N867" s="17">
        <f t="shared" si="481"/>
        <v>0</v>
      </c>
      <c r="O867" s="17">
        <f>ROUND(40000,2)</f>
        <v>40000</v>
      </c>
      <c r="P867" s="18">
        <v>0</v>
      </c>
      <c r="Q867" s="18">
        <v>0</v>
      </c>
    </row>
    <row r="868" spans="1:17" ht="12.75" customHeight="1">
      <c r="A868" s="19" t="s">
        <v>197</v>
      </c>
      <c r="B868" s="19"/>
      <c r="C868" s="19"/>
      <c r="D868" s="19"/>
      <c r="E868" s="20">
        <f>SUM('DS1'!$A$228)</f>
        <v>0</v>
      </c>
      <c r="F868" s="20">
        <v>40000</v>
      </c>
      <c r="G868" s="20">
        <v>40000</v>
      </c>
      <c r="H868" s="20">
        <v>0</v>
      </c>
      <c r="I868" s="21">
        <v>0</v>
      </c>
      <c r="J868" s="21"/>
      <c r="K868" s="21">
        <v>0</v>
      </c>
      <c r="L868" s="21"/>
      <c r="M868" s="20">
        <v>0</v>
      </c>
      <c r="N868" s="20">
        <v>0</v>
      </c>
      <c r="O868" s="20">
        <v>0</v>
      </c>
      <c r="P868" s="22">
        <v>0</v>
      </c>
      <c r="Q868" s="22">
        <v>0</v>
      </c>
    </row>
    <row r="869" spans="1:17" ht="12.75" customHeight="1">
      <c r="A869" s="23"/>
      <c r="B869" s="24"/>
      <c r="C869" s="24"/>
      <c r="D869" s="24"/>
      <c r="E869" s="23"/>
      <c r="F869" s="20">
        <v>0</v>
      </c>
      <c r="G869" s="20">
        <v>40000</v>
      </c>
      <c r="H869" s="20">
        <v>0</v>
      </c>
      <c r="I869" s="21">
        <v>0</v>
      </c>
      <c r="J869" s="21"/>
      <c r="K869" s="21">
        <v>0</v>
      </c>
      <c r="L869" s="21"/>
      <c r="M869" s="20">
        <v>0</v>
      </c>
      <c r="N869" s="20">
        <v>0</v>
      </c>
      <c r="O869" s="20">
        <v>40000</v>
      </c>
      <c r="P869" s="22">
        <v>0</v>
      </c>
      <c r="Q869" s="22">
        <v>0</v>
      </c>
    </row>
    <row r="870" spans="1:17" ht="20.25" customHeight="1">
      <c r="A870" s="23"/>
      <c r="B870" s="24"/>
      <c r="C870" s="24"/>
      <c r="D870" s="24"/>
      <c r="E870" s="23"/>
      <c r="F870" s="23"/>
      <c r="G870" s="23"/>
      <c r="H870" s="23"/>
      <c r="I870" s="24"/>
      <c r="J870" s="24"/>
      <c r="K870" s="24"/>
      <c r="L870" s="24"/>
      <c r="M870" s="23"/>
      <c r="N870" s="23"/>
      <c r="O870" s="23"/>
      <c r="P870" s="23"/>
      <c r="Q870" s="23"/>
    </row>
    <row r="871" spans="1:17" ht="12.75" customHeight="1">
      <c r="A871" s="19" t="s">
        <v>587</v>
      </c>
      <c r="B871" s="19"/>
      <c r="C871" s="19"/>
      <c r="D871" s="19"/>
      <c r="E871" s="20">
        <f>SUM('DS1'!$A$221:$A$228)</f>
        <v>874193.36</v>
      </c>
      <c r="F871" s="20">
        <v>47507.75</v>
      </c>
      <c r="G871" s="20">
        <v>921701.1099999999</v>
      </c>
      <c r="H871" s="20">
        <v>728800.07</v>
      </c>
      <c r="I871" s="21">
        <v>728800.07</v>
      </c>
      <c r="J871" s="21"/>
      <c r="K871" s="21">
        <v>728800.07</v>
      </c>
      <c r="L871" s="21"/>
      <c r="M871" s="20">
        <v>728800.07</v>
      </c>
      <c r="N871" s="20">
        <v>723200.07</v>
      </c>
      <c r="O871" s="20">
        <v>152901.04</v>
      </c>
      <c r="P871" s="22">
        <v>16.58900465032531</v>
      </c>
      <c r="Q871" s="22">
        <v>79.07119369748834</v>
      </c>
    </row>
    <row r="872" spans="1:17" ht="12.75" customHeight="1">
      <c r="A872" s="23"/>
      <c r="B872" s="24"/>
      <c r="C872" s="24"/>
      <c r="D872" s="24"/>
      <c r="E872" s="23"/>
      <c r="F872" s="20">
        <v>0</v>
      </c>
      <c r="G872" s="20">
        <v>40000</v>
      </c>
      <c r="H872" s="20">
        <v>0</v>
      </c>
      <c r="I872" s="21">
        <v>0</v>
      </c>
      <c r="J872" s="21"/>
      <c r="K872" s="21">
        <v>0</v>
      </c>
      <c r="L872" s="21"/>
      <c r="M872" s="20">
        <v>5600</v>
      </c>
      <c r="N872" s="20">
        <v>0</v>
      </c>
      <c r="O872" s="20">
        <v>192901.04</v>
      </c>
      <c r="P872" s="22">
        <v>79.07119369748834</v>
      </c>
      <c r="Q872" s="22">
        <v>99.23161368521822</v>
      </c>
    </row>
    <row r="873" spans="1:17" ht="18" customHeight="1">
      <c r="A873" s="23"/>
      <c r="B873" s="24"/>
      <c r="C873" s="24"/>
      <c r="D873" s="24"/>
      <c r="E873" s="23"/>
      <c r="F873" s="23"/>
      <c r="G873" s="23"/>
      <c r="H873" s="23"/>
      <c r="I873" s="24"/>
      <c r="J873" s="24"/>
      <c r="K873" s="24"/>
      <c r="L873" s="24"/>
      <c r="M873" s="23"/>
      <c r="N873" s="23"/>
      <c r="O873" s="23"/>
      <c r="P873" s="23"/>
      <c r="Q873" s="23"/>
    </row>
    <row r="874" spans="1:17" ht="12.75" customHeight="1">
      <c r="A874" s="10" t="s">
        <v>83</v>
      </c>
      <c r="B874" s="11" t="s">
        <v>588</v>
      </c>
      <c r="C874" s="11"/>
      <c r="D874" s="11"/>
      <c r="E874" s="12">
        <f>ROUND(0,2)</f>
        <v>0</v>
      </c>
      <c r="F874" s="12">
        <f aca="true" t="shared" si="482" ref="F874:F875">ROUND(12828.23,2)</f>
        <v>12828.23</v>
      </c>
      <c r="G874" s="12">
        <f>ROUND(12828.23,2)</f>
        <v>12828.23</v>
      </c>
      <c r="H874" s="12">
        <f>ROUND(12828.23,2)</f>
        <v>12828.23</v>
      </c>
      <c r="I874" s="13">
        <f>ROUND(12828.23,2)</f>
        <v>12828.23</v>
      </c>
      <c r="J874" s="13"/>
      <c r="K874" s="13">
        <f>ROUND(12828.23,2)</f>
        <v>12828.23</v>
      </c>
      <c r="L874" s="13"/>
      <c r="M874" s="12">
        <f>ROUND(12828.23,2)</f>
        <v>12828.23</v>
      </c>
      <c r="N874" s="12">
        <f>ROUND(12828.23,2)</f>
        <v>12828.23</v>
      </c>
      <c r="O874" s="12">
        <f aca="true" t="shared" si="483" ref="O874:O875">ROUND(0,2)</f>
        <v>0</v>
      </c>
      <c r="P874" s="14">
        <v>0</v>
      </c>
      <c r="Q874" s="14">
        <v>100</v>
      </c>
    </row>
    <row r="875" spans="1:17" ht="12.75" customHeight="1">
      <c r="A875" s="15" t="s">
        <v>589</v>
      </c>
      <c r="B875" s="15"/>
      <c r="C875" s="15"/>
      <c r="D875" s="15"/>
      <c r="E875" s="16" t="s">
        <v>590</v>
      </c>
      <c r="F875" s="17">
        <f t="shared" si="482"/>
        <v>12828.23</v>
      </c>
      <c r="G875" s="17">
        <f>ROUND(0,2)</f>
        <v>0</v>
      </c>
      <c r="H875" s="17">
        <f>ROUND(0,2)</f>
        <v>0</v>
      </c>
      <c r="I875" s="17">
        <f>ROUND(0,2)</f>
        <v>0</v>
      </c>
      <c r="J875" s="17"/>
      <c r="K875" s="17">
        <f>ROUND(0,2)</f>
        <v>0</v>
      </c>
      <c r="L875" s="17"/>
      <c r="M875" s="17">
        <f>ROUND(0,2)</f>
        <v>0</v>
      </c>
      <c r="N875" s="17">
        <f>ROUND(0,2)</f>
        <v>0</v>
      </c>
      <c r="O875" s="17">
        <f t="shared" si="483"/>
        <v>0</v>
      </c>
      <c r="P875" s="18">
        <v>100</v>
      </c>
      <c r="Q875" s="18">
        <v>100</v>
      </c>
    </row>
    <row r="876" spans="1:17" ht="12.75" customHeight="1">
      <c r="A876" s="10"/>
      <c r="B876" s="11" t="s">
        <v>591</v>
      </c>
      <c r="C876" s="11"/>
      <c r="D876" s="11"/>
      <c r="E876" s="12">
        <f>ROUND(20000,2)</f>
        <v>20000</v>
      </c>
      <c r="F876" s="12">
        <f aca="true" t="shared" si="484" ref="F876:F877">ROUND(0,2)</f>
        <v>0</v>
      </c>
      <c r="G876" s="12">
        <f>ROUND(20000,2)</f>
        <v>20000</v>
      </c>
      <c r="H876" s="12">
        <f>ROUND(279.6,2)</f>
        <v>279.6</v>
      </c>
      <c r="I876" s="13">
        <f>ROUND(279.6,2)</f>
        <v>279.6</v>
      </c>
      <c r="J876" s="13"/>
      <c r="K876" s="13">
        <f>ROUND(279.6,2)</f>
        <v>279.6</v>
      </c>
      <c r="L876" s="13"/>
      <c r="M876" s="12">
        <f>ROUND(279.6,2)</f>
        <v>279.6</v>
      </c>
      <c r="N876" s="12">
        <f>ROUND(279.6,2)</f>
        <v>279.6</v>
      </c>
      <c r="O876" s="12">
        <f aca="true" t="shared" si="485" ref="O876:O877">ROUND(19720.4,2)</f>
        <v>19720.4</v>
      </c>
      <c r="P876" s="14">
        <v>98.60200000000002</v>
      </c>
      <c r="Q876" s="14">
        <v>1.3980000000000001</v>
      </c>
    </row>
    <row r="877" spans="1:17" ht="12.75" customHeight="1">
      <c r="A877" s="15" t="s">
        <v>592</v>
      </c>
      <c r="B877" s="15"/>
      <c r="C877" s="15"/>
      <c r="D877" s="15"/>
      <c r="E877" s="16" t="s">
        <v>593</v>
      </c>
      <c r="F877" s="17">
        <f t="shared" si="484"/>
        <v>0</v>
      </c>
      <c r="G877" s="17">
        <f>ROUND(0,2)</f>
        <v>0</v>
      </c>
      <c r="H877" s="17">
        <f>ROUND(0,2)</f>
        <v>0</v>
      </c>
      <c r="I877" s="17">
        <f>ROUND(0,2)</f>
        <v>0</v>
      </c>
      <c r="J877" s="17"/>
      <c r="K877" s="17">
        <f>ROUND(0,2)</f>
        <v>0</v>
      </c>
      <c r="L877" s="17"/>
      <c r="M877" s="17">
        <f>ROUND(0,2)</f>
        <v>0</v>
      </c>
      <c r="N877" s="17">
        <f>ROUND(0,2)</f>
        <v>0</v>
      </c>
      <c r="O877" s="17">
        <f t="shared" si="485"/>
        <v>19720.4</v>
      </c>
      <c r="P877" s="18">
        <v>1.3980000000000001</v>
      </c>
      <c r="Q877" s="18">
        <v>100</v>
      </c>
    </row>
    <row r="878" spans="1:17" ht="12.75" customHeight="1">
      <c r="A878" s="10"/>
      <c r="B878" s="11" t="s">
        <v>594</v>
      </c>
      <c r="C878" s="11"/>
      <c r="D878" s="11"/>
      <c r="E878" s="12">
        <f>ROUND(200000,2)</f>
        <v>200000</v>
      </c>
      <c r="F878" s="12">
        <f>ROUND(-5000,2)</f>
        <v>-5000</v>
      </c>
      <c r="G878" s="12">
        <f>ROUND(195000,2)</f>
        <v>195000</v>
      </c>
      <c r="H878" s="12">
        <f>ROUND(71655.61,2)</f>
        <v>71655.61</v>
      </c>
      <c r="I878" s="13">
        <f>ROUND(71655.61,2)</f>
        <v>71655.61</v>
      </c>
      <c r="J878" s="13"/>
      <c r="K878" s="13">
        <f>ROUND(70673.3,2)</f>
        <v>70673.3</v>
      </c>
      <c r="L878" s="13"/>
      <c r="M878" s="12">
        <f>ROUND(70673.3,2)</f>
        <v>70673.3</v>
      </c>
      <c r="N878" s="12">
        <f>ROUND(69189.15,2)</f>
        <v>69189.15</v>
      </c>
      <c r="O878" s="12">
        <f>ROUND(121314.92,2)</f>
        <v>121314.92</v>
      </c>
      <c r="P878" s="14">
        <v>62.21277948717948</v>
      </c>
      <c r="Q878" s="14">
        <v>36.24271794871795</v>
      </c>
    </row>
    <row r="879" spans="1:17" ht="12.75" customHeight="1">
      <c r="A879" s="15" t="s">
        <v>589</v>
      </c>
      <c r="B879" s="15"/>
      <c r="C879" s="15"/>
      <c r="D879" s="15"/>
      <c r="E879" s="16" t="s">
        <v>593</v>
      </c>
      <c r="F879" s="17">
        <f>ROUND(0,2)</f>
        <v>0</v>
      </c>
      <c r="G879" s="17">
        <f>ROUND(2029.47,2)</f>
        <v>2029.47</v>
      </c>
      <c r="H879" s="17">
        <f>ROUND(0,2)</f>
        <v>0</v>
      </c>
      <c r="I879" s="17">
        <f>ROUND(982.309999999998,2)</f>
        <v>982.31</v>
      </c>
      <c r="J879" s="17"/>
      <c r="K879" s="17">
        <f>ROUND(0,2)</f>
        <v>0</v>
      </c>
      <c r="L879" s="17"/>
      <c r="M879" s="17">
        <f>ROUND(1484.15000000001,2)</f>
        <v>1484.15</v>
      </c>
      <c r="N879" s="17">
        <f>ROUND(0,2)</f>
        <v>0</v>
      </c>
      <c r="O879" s="17">
        <f>ROUND(124326.7,2)</f>
        <v>124326.7</v>
      </c>
      <c r="P879" s="18">
        <v>35.827805</v>
      </c>
      <c r="Q879" s="18">
        <v>97.89998485991173</v>
      </c>
    </row>
    <row r="880" spans="1:17" ht="12.75" customHeight="1">
      <c r="A880" s="19" t="s">
        <v>76</v>
      </c>
      <c r="B880" s="19"/>
      <c r="C880" s="19"/>
      <c r="D880" s="19"/>
      <c r="E880" s="20">
        <f>SUM('DS1'!$A$229:$A$231)</f>
        <v>220000</v>
      </c>
      <c r="F880" s="20">
        <v>7828.23</v>
      </c>
      <c r="G880" s="20">
        <v>227828.23</v>
      </c>
      <c r="H880" s="20">
        <v>84763.44</v>
      </c>
      <c r="I880" s="21">
        <v>84763.44</v>
      </c>
      <c r="J880" s="21"/>
      <c r="K880" s="21">
        <v>83781.13</v>
      </c>
      <c r="L880" s="21"/>
      <c r="M880" s="20">
        <v>83781.13</v>
      </c>
      <c r="N880" s="20">
        <v>82296.98</v>
      </c>
      <c r="O880" s="20">
        <v>141035.32</v>
      </c>
      <c r="P880" s="22">
        <v>61.904233729068615</v>
      </c>
      <c r="Q880" s="22">
        <v>36.773814202041606</v>
      </c>
    </row>
    <row r="881" spans="1:17" ht="12.75" customHeight="1">
      <c r="A881" s="23"/>
      <c r="B881" s="24"/>
      <c r="C881" s="24"/>
      <c r="D881" s="24"/>
      <c r="E881" s="23"/>
      <c r="F881" s="20">
        <v>12828.23</v>
      </c>
      <c r="G881" s="20">
        <v>2029.4699999999975</v>
      </c>
      <c r="H881" s="20">
        <v>0</v>
      </c>
      <c r="I881" s="21">
        <v>982.3099999999977</v>
      </c>
      <c r="J881" s="21"/>
      <c r="K881" s="21">
        <v>0</v>
      </c>
      <c r="L881" s="21"/>
      <c r="M881" s="20">
        <v>1484.1500000000087</v>
      </c>
      <c r="N881" s="20">
        <v>0</v>
      </c>
      <c r="O881" s="20">
        <v>144047.1</v>
      </c>
      <c r="P881" s="22">
        <v>37.20497674936947</v>
      </c>
      <c r="Q881" s="22">
        <v>98.22853905169337</v>
      </c>
    </row>
    <row r="882" spans="1:17" ht="20.25" customHeight="1">
      <c r="A882" s="23"/>
      <c r="B882" s="24"/>
      <c r="C882" s="24"/>
      <c r="D882" s="24"/>
      <c r="E882" s="23"/>
      <c r="F882" s="23"/>
      <c r="G882" s="23"/>
      <c r="H882" s="23"/>
      <c r="I882" s="24"/>
      <c r="J882" s="24"/>
      <c r="K882" s="24"/>
      <c r="L882" s="24"/>
      <c r="M882" s="23"/>
      <c r="N882" s="23"/>
      <c r="O882" s="23"/>
      <c r="P882" s="23"/>
      <c r="Q882" s="23"/>
    </row>
    <row r="883" spans="1:17" ht="12.75" customHeight="1">
      <c r="A883" s="10"/>
      <c r="B883" s="11" t="s">
        <v>595</v>
      </c>
      <c r="C883" s="11"/>
      <c r="D883" s="11"/>
      <c r="E883" s="12">
        <f>ROUND(1000,2)</f>
        <v>1000</v>
      </c>
      <c r="F883" s="12">
        <f aca="true" t="shared" si="486" ref="F883:F886">ROUND(0,2)</f>
        <v>0</v>
      </c>
      <c r="G883" s="12">
        <f>ROUND(1000,2)</f>
        <v>1000</v>
      </c>
      <c r="H883" s="12">
        <f aca="true" t="shared" si="487" ref="H883:H884">ROUND(0,2)</f>
        <v>0</v>
      </c>
      <c r="I883" s="13">
        <f aca="true" t="shared" si="488" ref="I883:I884">ROUND(0,2)</f>
        <v>0</v>
      </c>
      <c r="J883" s="13"/>
      <c r="K883" s="13">
        <f aca="true" t="shared" si="489" ref="K883:K884">ROUND(0,2)</f>
        <v>0</v>
      </c>
      <c r="L883" s="13"/>
      <c r="M883" s="12">
        <f aca="true" t="shared" si="490" ref="M883:M884">ROUND(0,2)</f>
        <v>0</v>
      </c>
      <c r="N883" s="12">
        <f aca="true" t="shared" si="491" ref="N883:N884">ROUND(0,2)</f>
        <v>0</v>
      </c>
      <c r="O883" s="12">
        <f aca="true" t="shared" si="492" ref="O883:O884">ROUND(1000,2)</f>
        <v>1000</v>
      </c>
      <c r="P883" s="14">
        <v>100</v>
      </c>
      <c r="Q883" s="14">
        <v>0</v>
      </c>
    </row>
    <row r="884" spans="1:17" ht="12.75" customHeight="1">
      <c r="A884" s="15" t="s">
        <v>596</v>
      </c>
      <c r="B884" s="15"/>
      <c r="C884" s="15"/>
      <c r="D884" s="15"/>
      <c r="E884" s="16" t="s">
        <v>593</v>
      </c>
      <c r="F884" s="17">
        <f t="shared" si="486"/>
        <v>0</v>
      </c>
      <c r="G884" s="17">
        <f>ROUND(0,2)</f>
        <v>0</v>
      </c>
      <c r="H884" s="17">
        <f t="shared" si="487"/>
        <v>0</v>
      </c>
      <c r="I884" s="17">
        <f t="shared" si="488"/>
        <v>0</v>
      </c>
      <c r="J884" s="17"/>
      <c r="K884" s="17">
        <f t="shared" si="489"/>
        <v>0</v>
      </c>
      <c r="L884" s="17"/>
      <c r="M884" s="17">
        <f t="shared" si="490"/>
        <v>0</v>
      </c>
      <c r="N884" s="17">
        <f t="shared" si="491"/>
        <v>0</v>
      </c>
      <c r="O884" s="17">
        <f t="shared" si="492"/>
        <v>1000</v>
      </c>
      <c r="P884" s="18">
        <v>0</v>
      </c>
      <c r="Q884" s="18">
        <v>0</v>
      </c>
    </row>
    <row r="885" spans="1:17" ht="12.75" customHeight="1">
      <c r="A885" s="10"/>
      <c r="B885" s="11" t="s">
        <v>597</v>
      </c>
      <c r="C885" s="11"/>
      <c r="D885" s="11"/>
      <c r="E885" s="12">
        <f>ROUND(3000,2)</f>
        <v>3000</v>
      </c>
      <c r="F885" s="12">
        <f t="shared" si="486"/>
        <v>0</v>
      </c>
      <c r="G885" s="12">
        <f>ROUND(3000,2)</f>
        <v>3000</v>
      </c>
      <c r="H885" s="12">
        <f>ROUND(837.09,2)</f>
        <v>837.09</v>
      </c>
      <c r="I885" s="13">
        <f>ROUND(837.09,2)</f>
        <v>837.09</v>
      </c>
      <c r="J885" s="13"/>
      <c r="K885" s="13">
        <f>ROUND(837.09,2)</f>
        <v>837.09</v>
      </c>
      <c r="L885" s="13"/>
      <c r="M885" s="12">
        <f>ROUND(837.09,2)</f>
        <v>837.09</v>
      </c>
      <c r="N885" s="12">
        <f>ROUND(837.09,2)</f>
        <v>837.09</v>
      </c>
      <c r="O885" s="12">
        <f aca="true" t="shared" si="493" ref="O885:O886">ROUND(2162.91,2)</f>
        <v>2162.91</v>
      </c>
      <c r="P885" s="14">
        <v>72.097</v>
      </c>
      <c r="Q885" s="14">
        <v>27.903</v>
      </c>
    </row>
    <row r="886" spans="1:17" ht="12.75" customHeight="1">
      <c r="A886" s="15" t="s">
        <v>598</v>
      </c>
      <c r="B886" s="15"/>
      <c r="C886" s="15"/>
      <c r="D886" s="15"/>
      <c r="E886" s="16" t="s">
        <v>593</v>
      </c>
      <c r="F886" s="17">
        <f t="shared" si="486"/>
        <v>0</v>
      </c>
      <c r="G886" s="17">
        <f>ROUND(0,2)</f>
        <v>0</v>
      </c>
      <c r="H886" s="17">
        <f>ROUND(0,2)</f>
        <v>0</v>
      </c>
      <c r="I886" s="17">
        <f>ROUND(0,2)</f>
        <v>0</v>
      </c>
      <c r="J886" s="17"/>
      <c r="K886" s="17">
        <f>ROUND(0,2)</f>
        <v>0</v>
      </c>
      <c r="L886" s="17"/>
      <c r="M886" s="17">
        <f>ROUND(0,2)</f>
        <v>0</v>
      </c>
      <c r="N886" s="17">
        <f>ROUND(0,2)</f>
        <v>0</v>
      </c>
      <c r="O886" s="17">
        <f t="shared" si="493"/>
        <v>2162.91</v>
      </c>
      <c r="P886" s="18">
        <v>27.903</v>
      </c>
      <c r="Q886" s="18">
        <v>100</v>
      </c>
    </row>
    <row r="887" spans="1:17" ht="12.75" customHeight="1">
      <c r="A887" s="19" t="s">
        <v>79</v>
      </c>
      <c r="B887" s="19"/>
      <c r="C887" s="19"/>
      <c r="D887" s="19"/>
      <c r="E887" s="20">
        <f>SUM('DS1'!$A$232:$A$233)</f>
        <v>4000</v>
      </c>
      <c r="F887" s="20">
        <v>0</v>
      </c>
      <c r="G887" s="20">
        <v>4000</v>
      </c>
      <c r="H887" s="20">
        <v>837.09</v>
      </c>
      <c r="I887" s="21">
        <v>837.09</v>
      </c>
      <c r="J887" s="21"/>
      <c r="K887" s="21">
        <v>837.09</v>
      </c>
      <c r="L887" s="21"/>
      <c r="M887" s="20">
        <v>837.09</v>
      </c>
      <c r="N887" s="20">
        <v>837.09</v>
      </c>
      <c r="O887" s="20">
        <v>3162.91</v>
      </c>
      <c r="P887" s="22">
        <v>79.07274999999998</v>
      </c>
      <c r="Q887" s="22">
        <v>20.92725</v>
      </c>
    </row>
    <row r="888" spans="1:17" ht="12.75" customHeight="1">
      <c r="A888" s="23"/>
      <c r="B888" s="24"/>
      <c r="C888" s="24"/>
      <c r="D888" s="24"/>
      <c r="E888" s="23"/>
      <c r="F888" s="20">
        <v>0</v>
      </c>
      <c r="G888" s="20">
        <v>0</v>
      </c>
      <c r="H888" s="20">
        <v>0</v>
      </c>
      <c r="I888" s="21">
        <v>0</v>
      </c>
      <c r="J888" s="21"/>
      <c r="K888" s="21">
        <v>0</v>
      </c>
      <c r="L888" s="21"/>
      <c r="M888" s="20">
        <v>0</v>
      </c>
      <c r="N888" s="20">
        <v>0</v>
      </c>
      <c r="O888" s="20">
        <v>3162.91</v>
      </c>
      <c r="P888" s="22">
        <v>20.92725</v>
      </c>
      <c r="Q888" s="22">
        <v>100</v>
      </c>
    </row>
    <row r="889" spans="1:17" ht="20.25" customHeight="1">
      <c r="A889" s="23"/>
      <c r="B889" s="24"/>
      <c r="C889" s="24"/>
      <c r="D889" s="24"/>
      <c r="E889" s="23"/>
      <c r="F889" s="23"/>
      <c r="G889" s="23"/>
      <c r="H889" s="23"/>
      <c r="I889" s="24"/>
      <c r="J889" s="24"/>
      <c r="K889" s="24"/>
      <c r="L889" s="24"/>
      <c r="M889" s="23"/>
      <c r="N889" s="23"/>
      <c r="O889" s="23"/>
      <c r="P889" s="23"/>
      <c r="Q889" s="23"/>
    </row>
    <row r="890" spans="1:17" ht="12.75" customHeight="1">
      <c r="A890" s="10"/>
      <c r="B890" s="11" t="s">
        <v>599</v>
      </c>
      <c r="C890" s="11"/>
      <c r="D890" s="11"/>
      <c r="E890" s="12">
        <f>ROUND(100000,2)</f>
        <v>100000</v>
      </c>
      <c r="F890" s="12">
        <f aca="true" t="shared" si="494" ref="F890:F901">ROUND(0,2)</f>
        <v>0</v>
      </c>
      <c r="G890" s="12">
        <f>ROUND(100000,2)</f>
        <v>100000</v>
      </c>
      <c r="H890" s="12">
        <f>ROUND(46901.29,2)</f>
        <v>46901.29</v>
      </c>
      <c r="I890" s="13">
        <f>ROUND(46901.29,2)</f>
        <v>46901.29</v>
      </c>
      <c r="J890" s="13"/>
      <c r="K890" s="13">
        <f>ROUND(46901.29,2)</f>
        <v>46901.29</v>
      </c>
      <c r="L890" s="13"/>
      <c r="M890" s="12">
        <f>ROUND(46901.29,2)</f>
        <v>46901.29</v>
      </c>
      <c r="N890" s="12">
        <f>ROUND(46901.29,2)</f>
        <v>46901.29</v>
      </c>
      <c r="O890" s="12">
        <f aca="true" t="shared" si="495" ref="O890:O891">ROUND(53098.71,2)</f>
        <v>53098.71</v>
      </c>
      <c r="P890" s="14">
        <v>53.098710000000004</v>
      </c>
      <c r="Q890" s="14">
        <v>46.90129</v>
      </c>
    </row>
    <row r="891" spans="1:17" ht="12.75" customHeight="1">
      <c r="A891" s="15" t="s">
        <v>600</v>
      </c>
      <c r="B891" s="15"/>
      <c r="C891" s="15"/>
      <c r="D891" s="15"/>
      <c r="E891" s="16" t="s">
        <v>601</v>
      </c>
      <c r="F891" s="17">
        <f t="shared" si="494"/>
        <v>0</v>
      </c>
      <c r="G891" s="17">
        <f>ROUND(0,2)</f>
        <v>0</v>
      </c>
      <c r="H891" s="17">
        <f>ROUND(0,2)</f>
        <v>0</v>
      </c>
      <c r="I891" s="17">
        <f>ROUND(0,2)</f>
        <v>0</v>
      </c>
      <c r="J891" s="17"/>
      <c r="K891" s="17">
        <f>ROUND(0,2)</f>
        <v>0</v>
      </c>
      <c r="L891" s="17"/>
      <c r="M891" s="17">
        <f>ROUND(0,2)</f>
        <v>0</v>
      </c>
      <c r="N891" s="17">
        <f>ROUND(0,2)</f>
        <v>0</v>
      </c>
      <c r="O891" s="17">
        <f t="shared" si="495"/>
        <v>53098.71</v>
      </c>
      <c r="P891" s="18">
        <v>46.90129</v>
      </c>
      <c r="Q891" s="18">
        <v>100</v>
      </c>
    </row>
    <row r="892" spans="1:17" ht="12.75" customHeight="1">
      <c r="A892" s="10"/>
      <c r="B892" s="11" t="s">
        <v>602</v>
      </c>
      <c r="C892" s="11"/>
      <c r="D892" s="11"/>
      <c r="E892" s="12">
        <f>ROUND(2000,2)</f>
        <v>2000</v>
      </c>
      <c r="F892" s="12">
        <f t="shared" si="494"/>
        <v>0</v>
      </c>
      <c r="G892" s="12">
        <f>ROUND(2000,2)</f>
        <v>2000</v>
      </c>
      <c r="H892" s="12">
        <f>ROUND(11049.86,2)</f>
        <v>11049.86</v>
      </c>
      <c r="I892" s="13">
        <f>ROUND(11049.86,2)</f>
        <v>11049.86</v>
      </c>
      <c r="J892" s="13"/>
      <c r="K892" s="13">
        <f>ROUND(11049.86,2)</f>
        <v>11049.86</v>
      </c>
      <c r="L892" s="13"/>
      <c r="M892" s="12">
        <f>ROUND(11049.86,2)</f>
        <v>11049.86</v>
      </c>
      <c r="N892" s="12">
        <f>ROUND(10770.26,2)</f>
        <v>10770.26</v>
      </c>
      <c r="O892" s="12">
        <f aca="true" t="shared" si="496" ref="O892:O893">ROUND(-9049.86,2)</f>
        <v>-9049.86</v>
      </c>
      <c r="P892" s="14">
        <v>-452.49300000000005</v>
      </c>
      <c r="Q892" s="14">
        <v>552.493</v>
      </c>
    </row>
    <row r="893" spans="1:17" ht="12.75" customHeight="1">
      <c r="A893" s="15" t="s">
        <v>603</v>
      </c>
      <c r="B893" s="15"/>
      <c r="C893" s="15"/>
      <c r="D893" s="15"/>
      <c r="E893" s="16" t="s">
        <v>601</v>
      </c>
      <c r="F893" s="17">
        <f t="shared" si="494"/>
        <v>0</v>
      </c>
      <c r="G893" s="17">
        <f>ROUND(0,2)</f>
        <v>0</v>
      </c>
      <c r="H893" s="17">
        <f>ROUND(0,2)</f>
        <v>0</v>
      </c>
      <c r="I893" s="17">
        <f>ROUND(0,2)</f>
        <v>0</v>
      </c>
      <c r="J893" s="17"/>
      <c r="K893" s="17">
        <f>ROUND(0,2)</f>
        <v>0</v>
      </c>
      <c r="L893" s="17"/>
      <c r="M893" s="17">
        <f>ROUND(279.6,2)</f>
        <v>279.6</v>
      </c>
      <c r="N893" s="17">
        <f>ROUND(0,2)</f>
        <v>0</v>
      </c>
      <c r="O893" s="17">
        <f t="shared" si="496"/>
        <v>-9049.86</v>
      </c>
      <c r="P893" s="18">
        <v>552.493</v>
      </c>
      <c r="Q893" s="18">
        <v>97.46965119920071</v>
      </c>
    </row>
    <row r="894" spans="1:17" ht="12.75" customHeight="1">
      <c r="A894" s="10"/>
      <c r="B894" s="11" t="s">
        <v>604</v>
      </c>
      <c r="C894" s="11"/>
      <c r="D894" s="11"/>
      <c r="E894" s="12">
        <f>ROUND(2000,2)</f>
        <v>2000</v>
      </c>
      <c r="F894" s="12">
        <f t="shared" si="494"/>
        <v>0</v>
      </c>
      <c r="G894" s="12">
        <f>ROUND(2000,2)</f>
        <v>2000</v>
      </c>
      <c r="H894" s="12">
        <f>ROUND(270.4,2)</f>
        <v>270.4</v>
      </c>
      <c r="I894" s="13">
        <f>ROUND(270.4,2)</f>
        <v>270.4</v>
      </c>
      <c r="J894" s="13"/>
      <c r="K894" s="13">
        <f>ROUND(270.4,2)</f>
        <v>270.4</v>
      </c>
      <c r="L894" s="13"/>
      <c r="M894" s="12">
        <f>ROUND(270.4,2)</f>
        <v>270.4</v>
      </c>
      <c r="N894" s="12">
        <f>ROUND(270.4,2)</f>
        <v>270.4</v>
      </c>
      <c r="O894" s="12">
        <f aca="true" t="shared" si="497" ref="O894:O895">ROUND(1729.6,2)</f>
        <v>1729.6</v>
      </c>
      <c r="P894" s="14">
        <v>86.47999999999999</v>
      </c>
      <c r="Q894" s="14">
        <v>13.52</v>
      </c>
    </row>
    <row r="895" spans="1:17" ht="12.75" customHeight="1">
      <c r="A895" s="15" t="s">
        <v>605</v>
      </c>
      <c r="B895" s="15"/>
      <c r="C895" s="15"/>
      <c r="D895" s="15"/>
      <c r="E895" s="16" t="s">
        <v>601</v>
      </c>
      <c r="F895" s="17">
        <f t="shared" si="494"/>
        <v>0</v>
      </c>
      <c r="G895" s="17">
        <f>ROUND(0,2)</f>
        <v>0</v>
      </c>
      <c r="H895" s="17">
        <f aca="true" t="shared" si="498" ref="H895:H897">ROUND(0,2)</f>
        <v>0</v>
      </c>
      <c r="I895" s="17">
        <f aca="true" t="shared" si="499" ref="I895:I897">ROUND(0,2)</f>
        <v>0</v>
      </c>
      <c r="J895" s="17"/>
      <c r="K895" s="17">
        <f aca="true" t="shared" si="500" ref="K895:K897">ROUND(0,2)</f>
        <v>0</v>
      </c>
      <c r="L895" s="17"/>
      <c r="M895" s="17">
        <f aca="true" t="shared" si="501" ref="M895:M897">ROUND(0,2)</f>
        <v>0</v>
      </c>
      <c r="N895" s="17">
        <f aca="true" t="shared" si="502" ref="N895:N897">ROUND(0,2)</f>
        <v>0</v>
      </c>
      <c r="O895" s="17">
        <f t="shared" si="497"/>
        <v>1729.6</v>
      </c>
      <c r="P895" s="18">
        <v>13.52</v>
      </c>
      <c r="Q895" s="18">
        <v>100</v>
      </c>
    </row>
    <row r="896" spans="1:17" ht="12.75" customHeight="1">
      <c r="A896" s="10"/>
      <c r="B896" s="11" t="s">
        <v>606</v>
      </c>
      <c r="C896" s="11"/>
      <c r="D896" s="11"/>
      <c r="E896" s="12">
        <f>ROUND(9000,2)</f>
        <v>9000</v>
      </c>
      <c r="F896" s="12">
        <f t="shared" si="494"/>
        <v>0</v>
      </c>
      <c r="G896" s="12">
        <f>ROUND(9000,2)</f>
        <v>9000</v>
      </c>
      <c r="H896" s="12">
        <f t="shared" si="498"/>
        <v>0</v>
      </c>
      <c r="I896" s="13">
        <f t="shared" si="499"/>
        <v>0</v>
      </c>
      <c r="J896" s="13"/>
      <c r="K896" s="13">
        <f t="shared" si="500"/>
        <v>0</v>
      </c>
      <c r="L896" s="13"/>
      <c r="M896" s="12">
        <f t="shared" si="501"/>
        <v>0</v>
      </c>
      <c r="N896" s="12">
        <f t="shared" si="502"/>
        <v>0</v>
      </c>
      <c r="O896" s="12">
        <f aca="true" t="shared" si="503" ref="O896:O897">ROUND(9000,2)</f>
        <v>9000</v>
      </c>
      <c r="P896" s="14">
        <v>100</v>
      </c>
      <c r="Q896" s="14">
        <v>0</v>
      </c>
    </row>
    <row r="897" spans="1:17" ht="12.75" customHeight="1">
      <c r="A897" s="15" t="s">
        <v>607</v>
      </c>
      <c r="B897" s="15"/>
      <c r="C897" s="15"/>
      <c r="D897" s="15"/>
      <c r="E897" s="16" t="s">
        <v>601</v>
      </c>
      <c r="F897" s="17">
        <f t="shared" si="494"/>
        <v>0</v>
      </c>
      <c r="G897" s="17">
        <f>ROUND(0,2)</f>
        <v>0</v>
      </c>
      <c r="H897" s="17">
        <f t="shared" si="498"/>
        <v>0</v>
      </c>
      <c r="I897" s="17">
        <f t="shared" si="499"/>
        <v>0</v>
      </c>
      <c r="J897" s="17"/>
      <c r="K897" s="17">
        <f t="shared" si="500"/>
        <v>0</v>
      </c>
      <c r="L897" s="17"/>
      <c r="M897" s="17">
        <f t="shared" si="501"/>
        <v>0</v>
      </c>
      <c r="N897" s="17">
        <f t="shared" si="502"/>
        <v>0</v>
      </c>
      <c r="O897" s="17">
        <f t="shared" si="503"/>
        <v>9000</v>
      </c>
      <c r="P897" s="18">
        <v>0</v>
      </c>
      <c r="Q897" s="18">
        <v>0</v>
      </c>
    </row>
    <row r="898" spans="1:17" ht="12.75" customHeight="1">
      <c r="A898" s="10"/>
      <c r="B898" s="11" t="s">
        <v>608</v>
      </c>
      <c r="C898" s="11"/>
      <c r="D898" s="11"/>
      <c r="E898" s="12">
        <f>ROUND(70000,2)</f>
        <v>70000</v>
      </c>
      <c r="F898" s="12">
        <f t="shared" si="494"/>
        <v>0</v>
      </c>
      <c r="G898" s="12">
        <f>ROUND(70000,2)</f>
        <v>70000</v>
      </c>
      <c r="H898" s="12">
        <f>ROUND(49145.32,2)</f>
        <v>49145.32</v>
      </c>
      <c r="I898" s="13">
        <f>ROUND(49145.32,2)</f>
        <v>49145.32</v>
      </c>
      <c r="J898" s="13"/>
      <c r="K898" s="13">
        <f>ROUND(49145.32,2)</f>
        <v>49145.32</v>
      </c>
      <c r="L898" s="13"/>
      <c r="M898" s="12">
        <f>ROUND(49145.32,2)</f>
        <v>49145.32</v>
      </c>
      <c r="N898" s="12">
        <f>ROUND(49145.32,2)</f>
        <v>49145.32</v>
      </c>
      <c r="O898" s="12">
        <f aca="true" t="shared" si="504" ref="O898:O899">ROUND(20854.68,2)</f>
        <v>20854.68</v>
      </c>
      <c r="P898" s="14">
        <v>29.7924</v>
      </c>
      <c r="Q898" s="14">
        <v>70.2076</v>
      </c>
    </row>
    <row r="899" spans="1:17" ht="12.75" customHeight="1">
      <c r="A899" s="15" t="s">
        <v>609</v>
      </c>
      <c r="B899" s="15"/>
      <c r="C899" s="15"/>
      <c r="D899" s="15"/>
      <c r="E899" s="16" t="s">
        <v>601</v>
      </c>
      <c r="F899" s="17">
        <f t="shared" si="494"/>
        <v>0</v>
      </c>
      <c r="G899" s="17">
        <f>ROUND(0,2)</f>
        <v>0</v>
      </c>
      <c r="H899" s="17">
        <f aca="true" t="shared" si="505" ref="H899:H901">ROUND(0,2)</f>
        <v>0</v>
      </c>
      <c r="I899" s="17">
        <f aca="true" t="shared" si="506" ref="I899:I901">ROUND(0,2)</f>
        <v>0</v>
      </c>
      <c r="J899" s="17"/>
      <c r="K899" s="17">
        <f aca="true" t="shared" si="507" ref="K899:K901">ROUND(0,2)</f>
        <v>0</v>
      </c>
      <c r="L899" s="17"/>
      <c r="M899" s="17">
        <f aca="true" t="shared" si="508" ref="M899:M901">ROUND(0,2)</f>
        <v>0</v>
      </c>
      <c r="N899" s="17">
        <f aca="true" t="shared" si="509" ref="N899:N901">ROUND(0,2)</f>
        <v>0</v>
      </c>
      <c r="O899" s="17">
        <f t="shared" si="504"/>
        <v>20854.68</v>
      </c>
      <c r="P899" s="18">
        <v>70.2076</v>
      </c>
      <c r="Q899" s="18">
        <v>100</v>
      </c>
    </row>
    <row r="900" spans="1:17" ht="12.75" customHeight="1">
      <c r="A900" s="10"/>
      <c r="B900" s="11" t="s">
        <v>610</v>
      </c>
      <c r="C900" s="11"/>
      <c r="D900" s="11"/>
      <c r="E900" s="12">
        <f>ROUND(500,2)</f>
        <v>500</v>
      </c>
      <c r="F900" s="12">
        <f t="shared" si="494"/>
        <v>0</v>
      </c>
      <c r="G900" s="12">
        <f>ROUND(500,2)</f>
        <v>500</v>
      </c>
      <c r="H900" s="12">
        <f t="shared" si="505"/>
        <v>0</v>
      </c>
      <c r="I900" s="13">
        <f t="shared" si="506"/>
        <v>0</v>
      </c>
      <c r="J900" s="13"/>
      <c r="K900" s="13">
        <f t="shared" si="507"/>
        <v>0</v>
      </c>
      <c r="L900" s="13"/>
      <c r="M900" s="12">
        <f t="shared" si="508"/>
        <v>0</v>
      </c>
      <c r="N900" s="12">
        <f t="shared" si="509"/>
        <v>0</v>
      </c>
      <c r="O900" s="12">
        <f aca="true" t="shared" si="510" ref="O900:O901">ROUND(500,2)</f>
        <v>500</v>
      </c>
      <c r="P900" s="14">
        <v>100</v>
      </c>
      <c r="Q900" s="14">
        <v>0</v>
      </c>
    </row>
    <row r="901" spans="1:17" ht="12.75" customHeight="1">
      <c r="A901" s="15" t="s">
        <v>611</v>
      </c>
      <c r="B901" s="15"/>
      <c r="C901" s="15"/>
      <c r="D901" s="15"/>
      <c r="E901" s="16" t="s">
        <v>601</v>
      </c>
      <c r="F901" s="17">
        <f t="shared" si="494"/>
        <v>0</v>
      </c>
      <c r="G901" s="17">
        <f>ROUND(0,2)</f>
        <v>0</v>
      </c>
      <c r="H901" s="17">
        <f t="shared" si="505"/>
        <v>0</v>
      </c>
      <c r="I901" s="17">
        <f t="shared" si="506"/>
        <v>0</v>
      </c>
      <c r="J901" s="17"/>
      <c r="K901" s="17">
        <f t="shared" si="507"/>
        <v>0</v>
      </c>
      <c r="L901" s="17"/>
      <c r="M901" s="17">
        <f t="shared" si="508"/>
        <v>0</v>
      </c>
      <c r="N901" s="17">
        <f t="shared" si="509"/>
        <v>0</v>
      </c>
      <c r="O901" s="17">
        <f t="shared" si="510"/>
        <v>500</v>
      </c>
      <c r="P901" s="18">
        <v>0</v>
      </c>
      <c r="Q901" s="18">
        <v>0</v>
      </c>
    </row>
    <row r="902" spans="1:17" ht="12.75" customHeight="1">
      <c r="A902" s="19" t="s">
        <v>92</v>
      </c>
      <c r="B902" s="19"/>
      <c r="C902" s="19"/>
      <c r="D902" s="19"/>
      <c r="E902" s="20">
        <f>SUM('DS1'!$A$234:$A$239)</f>
        <v>183500</v>
      </c>
      <c r="F902" s="20">
        <v>0</v>
      </c>
      <c r="G902" s="20">
        <v>183500</v>
      </c>
      <c r="H902" s="20">
        <v>107366.87</v>
      </c>
      <c r="I902" s="21">
        <v>107366.87</v>
      </c>
      <c r="J902" s="21"/>
      <c r="K902" s="21">
        <v>107366.87</v>
      </c>
      <c r="L902" s="21"/>
      <c r="M902" s="20">
        <v>107366.87</v>
      </c>
      <c r="N902" s="20">
        <v>107087.27</v>
      </c>
      <c r="O902" s="20">
        <v>76133.13</v>
      </c>
      <c r="P902" s="22">
        <v>41.489444141689376</v>
      </c>
      <c r="Q902" s="22">
        <v>58.51055585831062</v>
      </c>
    </row>
    <row r="903" spans="1:17" ht="12.75" customHeight="1">
      <c r="A903" s="23"/>
      <c r="B903" s="24"/>
      <c r="C903" s="24"/>
      <c r="D903" s="24"/>
      <c r="E903" s="23"/>
      <c r="F903" s="20">
        <v>0</v>
      </c>
      <c r="G903" s="20">
        <v>0</v>
      </c>
      <c r="H903" s="20">
        <v>0</v>
      </c>
      <c r="I903" s="21">
        <v>0</v>
      </c>
      <c r="J903" s="21"/>
      <c r="K903" s="21">
        <v>0</v>
      </c>
      <c r="L903" s="21"/>
      <c r="M903" s="20">
        <v>279.60000000000036</v>
      </c>
      <c r="N903" s="20">
        <v>0</v>
      </c>
      <c r="O903" s="20">
        <v>76133.13</v>
      </c>
      <c r="P903" s="22">
        <v>58.51055585831062</v>
      </c>
      <c r="Q903" s="22">
        <v>99.739584473311</v>
      </c>
    </row>
    <row r="904" spans="1:17" ht="20.25" customHeight="1">
      <c r="A904" s="23"/>
      <c r="B904" s="24"/>
      <c r="C904" s="24"/>
      <c r="D904" s="24"/>
      <c r="E904" s="23"/>
      <c r="F904" s="23"/>
      <c r="G904" s="23"/>
      <c r="H904" s="23"/>
      <c r="I904" s="24"/>
      <c r="J904" s="24"/>
      <c r="K904" s="24"/>
      <c r="L904" s="24"/>
      <c r="M904" s="23"/>
      <c r="N904" s="23"/>
      <c r="O904" s="23"/>
      <c r="P904" s="23"/>
      <c r="Q904" s="23"/>
    </row>
    <row r="905" spans="1:17" ht="12.75" customHeight="1">
      <c r="A905" s="10"/>
      <c r="B905" s="11" t="s">
        <v>612</v>
      </c>
      <c r="C905" s="11"/>
      <c r="D905" s="11"/>
      <c r="E905" s="12">
        <f>ROUND(1000,2)</f>
        <v>1000</v>
      </c>
      <c r="F905" s="12">
        <f aca="true" t="shared" si="511" ref="F905:F906">ROUND(0,2)</f>
        <v>0</v>
      </c>
      <c r="G905" s="12">
        <f>ROUND(1000,2)</f>
        <v>1000</v>
      </c>
      <c r="H905" s="12">
        <f>ROUND(170.05,2)</f>
        <v>170.05</v>
      </c>
      <c r="I905" s="13">
        <f>ROUND(170.05,2)</f>
        <v>170.05</v>
      </c>
      <c r="J905" s="13"/>
      <c r="K905" s="13">
        <f>ROUND(170.05,2)</f>
        <v>170.05</v>
      </c>
      <c r="L905" s="13"/>
      <c r="M905" s="12">
        <f>ROUND(170.05,2)</f>
        <v>170.05</v>
      </c>
      <c r="N905" s="12">
        <f>ROUND(170.05,2)</f>
        <v>170.05</v>
      </c>
      <c r="O905" s="12">
        <f aca="true" t="shared" si="512" ref="O905:O906">ROUND(829.95,2)</f>
        <v>829.95</v>
      </c>
      <c r="P905" s="14">
        <v>82.995</v>
      </c>
      <c r="Q905" s="14">
        <v>17.005</v>
      </c>
    </row>
    <row r="906" spans="1:17" ht="12.75" customHeight="1">
      <c r="A906" s="15" t="s">
        <v>613</v>
      </c>
      <c r="B906" s="15"/>
      <c r="C906" s="15"/>
      <c r="D906" s="15"/>
      <c r="E906" s="16" t="s">
        <v>601</v>
      </c>
      <c r="F906" s="17">
        <f t="shared" si="511"/>
        <v>0</v>
      </c>
      <c r="G906" s="17">
        <f>ROUND(0,2)</f>
        <v>0</v>
      </c>
      <c r="H906" s="17">
        <f>ROUND(0,2)</f>
        <v>0</v>
      </c>
      <c r="I906" s="17">
        <f>ROUND(0,2)</f>
        <v>0</v>
      </c>
      <c r="J906" s="17"/>
      <c r="K906" s="17">
        <f>ROUND(0,2)</f>
        <v>0</v>
      </c>
      <c r="L906" s="17"/>
      <c r="M906" s="17">
        <f>ROUND(0,2)</f>
        <v>0</v>
      </c>
      <c r="N906" s="17">
        <f>ROUND(0,2)</f>
        <v>0</v>
      </c>
      <c r="O906" s="17">
        <f t="shared" si="512"/>
        <v>829.95</v>
      </c>
      <c r="P906" s="18">
        <v>17.005</v>
      </c>
      <c r="Q906" s="18">
        <v>100</v>
      </c>
    </row>
    <row r="907" spans="1:17" ht="12.75" customHeight="1">
      <c r="A907" s="19" t="s">
        <v>95</v>
      </c>
      <c r="B907" s="19"/>
      <c r="C907" s="19"/>
      <c r="D907" s="19"/>
      <c r="E907" s="20">
        <f>SUM('DS1'!$A$240)</f>
        <v>1000</v>
      </c>
      <c r="F907" s="20">
        <v>0</v>
      </c>
      <c r="G907" s="20">
        <v>1000</v>
      </c>
      <c r="H907" s="20">
        <v>170.05</v>
      </c>
      <c r="I907" s="21">
        <v>170.05</v>
      </c>
      <c r="J907" s="21"/>
      <c r="K907" s="21">
        <v>170.05</v>
      </c>
      <c r="L907" s="21"/>
      <c r="M907" s="20">
        <v>170.05</v>
      </c>
      <c r="N907" s="20">
        <v>170.05</v>
      </c>
      <c r="O907" s="20">
        <v>829.95</v>
      </c>
      <c r="P907" s="22">
        <v>82.995</v>
      </c>
      <c r="Q907" s="22">
        <v>17.005</v>
      </c>
    </row>
    <row r="908" spans="1:17" ht="12.75" customHeight="1">
      <c r="A908" s="23"/>
      <c r="B908" s="24"/>
      <c r="C908" s="24"/>
      <c r="D908" s="24"/>
      <c r="E908" s="23"/>
      <c r="F908" s="20">
        <v>0</v>
      </c>
      <c r="G908" s="20">
        <v>0</v>
      </c>
      <c r="H908" s="20">
        <v>0</v>
      </c>
      <c r="I908" s="21">
        <v>0</v>
      </c>
      <c r="J908" s="21"/>
      <c r="K908" s="21">
        <v>0</v>
      </c>
      <c r="L908" s="21"/>
      <c r="M908" s="20">
        <v>0</v>
      </c>
      <c r="N908" s="20">
        <v>0</v>
      </c>
      <c r="O908" s="20">
        <v>829.95</v>
      </c>
      <c r="P908" s="22">
        <v>17.005</v>
      </c>
      <c r="Q908" s="22">
        <v>100</v>
      </c>
    </row>
    <row r="909" spans="1:17" ht="20.25" customHeight="1">
      <c r="A909" s="23"/>
      <c r="B909" s="24"/>
      <c r="C909" s="24"/>
      <c r="D909" s="24"/>
      <c r="E909" s="23"/>
      <c r="F909" s="23"/>
      <c r="G909" s="23"/>
      <c r="H909" s="23"/>
      <c r="I909" s="24"/>
      <c r="J909" s="24"/>
      <c r="K909" s="24"/>
      <c r="L909" s="24"/>
      <c r="M909" s="23"/>
      <c r="N909" s="23"/>
      <c r="O909" s="23"/>
      <c r="P909" s="23"/>
      <c r="Q909" s="23"/>
    </row>
    <row r="910" spans="1:17" ht="12.75" customHeight="1">
      <c r="A910" s="10"/>
      <c r="B910" s="11" t="s">
        <v>614</v>
      </c>
      <c r="C910" s="11"/>
      <c r="D910" s="11"/>
      <c r="E910" s="12">
        <f>ROUND(800000,2)</f>
        <v>800000</v>
      </c>
      <c r="F910" s="12">
        <f aca="true" t="shared" si="513" ref="F910:F913">ROUND(0,2)</f>
        <v>0</v>
      </c>
      <c r="G910" s="12">
        <f>ROUND(800000,2)</f>
        <v>800000</v>
      </c>
      <c r="H910" s="12">
        <f>ROUND(809978,2)</f>
        <v>809978</v>
      </c>
      <c r="I910" s="13">
        <f>ROUND(809978,2)</f>
        <v>809978</v>
      </c>
      <c r="J910" s="13"/>
      <c r="K910" s="13">
        <f>ROUND(751570.64,2)</f>
        <v>751570.64</v>
      </c>
      <c r="L910" s="13"/>
      <c r="M910" s="12">
        <f>ROUND(751570.64,2)</f>
        <v>751570.64</v>
      </c>
      <c r="N910" s="12">
        <f>ROUND(743641.94,2)</f>
        <v>743641.94</v>
      </c>
      <c r="O910" s="12">
        <f>ROUND(-9978,2)</f>
        <v>-9978</v>
      </c>
      <c r="P910" s="14">
        <v>-1.24725</v>
      </c>
      <c r="Q910" s="14">
        <v>93.94633</v>
      </c>
    </row>
    <row r="911" spans="1:17" ht="12.75" customHeight="1">
      <c r="A911" s="15" t="s">
        <v>615</v>
      </c>
      <c r="B911" s="15"/>
      <c r="C911" s="15"/>
      <c r="D911" s="15"/>
      <c r="E911" s="16" t="s">
        <v>601</v>
      </c>
      <c r="F911" s="17">
        <f t="shared" si="513"/>
        <v>0</v>
      </c>
      <c r="G911" s="17">
        <f>ROUND(0,2)</f>
        <v>0</v>
      </c>
      <c r="H911" s="17">
        <f>ROUND(0,2)</f>
        <v>0</v>
      </c>
      <c r="I911" s="17">
        <f>ROUND(58407.36,2)</f>
        <v>58407.36</v>
      </c>
      <c r="J911" s="17"/>
      <c r="K911" s="17">
        <f>ROUND(0,2)</f>
        <v>0</v>
      </c>
      <c r="L911" s="17"/>
      <c r="M911" s="17">
        <f>ROUND(7928.70000000007,2)</f>
        <v>7928.7</v>
      </c>
      <c r="N911" s="17">
        <f>ROUND(0,2)</f>
        <v>0</v>
      </c>
      <c r="O911" s="17">
        <f>ROUND(48429.36,2)</f>
        <v>48429.36</v>
      </c>
      <c r="P911" s="18">
        <v>101.24725000000001</v>
      </c>
      <c r="Q911" s="18">
        <v>98.94504926376581</v>
      </c>
    </row>
    <row r="912" spans="1:17" ht="12.75" customHeight="1">
      <c r="A912" s="10"/>
      <c r="B912" s="11" t="s">
        <v>616</v>
      </c>
      <c r="C912" s="11"/>
      <c r="D912" s="11"/>
      <c r="E912" s="12">
        <f>ROUND(350000,2)</f>
        <v>350000</v>
      </c>
      <c r="F912" s="12">
        <f t="shared" si="513"/>
        <v>0</v>
      </c>
      <c r="G912" s="12">
        <f>ROUND(350000,2)</f>
        <v>350000</v>
      </c>
      <c r="H912" s="12">
        <f>ROUND(330574.56,2)</f>
        <v>330574.56</v>
      </c>
      <c r="I912" s="13">
        <f>ROUND(330574.56,2)</f>
        <v>330574.56</v>
      </c>
      <c r="J912" s="13"/>
      <c r="K912" s="13">
        <f>ROUND(296857.49,2)</f>
        <v>296857.49</v>
      </c>
      <c r="L912" s="13"/>
      <c r="M912" s="12">
        <f>ROUND(296857.49,2)</f>
        <v>296857.49</v>
      </c>
      <c r="N912" s="12">
        <f>ROUND(285535.35,2)</f>
        <v>285535.35</v>
      </c>
      <c r="O912" s="12">
        <f>ROUND(15675.44,2)</f>
        <v>15675.44</v>
      </c>
      <c r="P912" s="14">
        <v>4.478697142857143</v>
      </c>
      <c r="Q912" s="14">
        <v>84.81642571428571</v>
      </c>
    </row>
    <row r="913" spans="1:17" ht="12.75" customHeight="1">
      <c r="A913" s="15" t="s">
        <v>617</v>
      </c>
      <c r="B913" s="15"/>
      <c r="C913" s="15"/>
      <c r="D913" s="15"/>
      <c r="E913" s="16" t="s">
        <v>601</v>
      </c>
      <c r="F913" s="17">
        <f t="shared" si="513"/>
        <v>0</v>
      </c>
      <c r="G913" s="17">
        <f>ROUND(3750,2)</f>
        <v>3750</v>
      </c>
      <c r="H913" s="17">
        <f aca="true" t="shared" si="514" ref="H913:H915">ROUND(0,2)</f>
        <v>0</v>
      </c>
      <c r="I913" s="17">
        <f>ROUND(33717.07,2)</f>
        <v>33717.07</v>
      </c>
      <c r="J913" s="17"/>
      <c r="K913" s="17">
        <f aca="true" t="shared" si="515" ref="K913:K915">ROUND(0,2)</f>
        <v>0</v>
      </c>
      <c r="L913" s="17"/>
      <c r="M913" s="17">
        <f>ROUND(11322.14,2)</f>
        <v>11322.14</v>
      </c>
      <c r="N913" s="17">
        <f aca="true" t="shared" si="516" ref="N913:N915">ROUND(0,2)</f>
        <v>0</v>
      </c>
      <c r="O913" s="17">
        <f>ROUND(53142.51,2)</f>
        <v>53142.51</v>
      </c>
      <c r="P913" s="18">
        <v>94.44987428571429</v>
      </c>
      <c r="Q913" s="18">
        <v>96.1860015726738</v>
      </c>
    </row>
    <row r="914" spans="1:17" ht="12.75" customHeight="1">
      <c r="A914" s="10" t="s">
        <v>83</v>
      </c>
      <c r="B914" s="11" t="s">
        <v>618</v>
      </c>
      <c r="C914" s="11"/>
      <c r="D914" s="11"/>
      <c r="E914" s="12">
        <f>ROUND(0,2)</f>
        <v>0</v>
      </c>
      <c r="F914" s="12">
        <f aca="true" t="shared" si="517" ref="F914:F915">ROUND(2652.86,2)</f>
        <v>2652.86</v>
      </c>
      <c r="G914" s="12">
        <f>ROUND(2652.86,2)</f>
        <v>2652.86</v>
      </c>
      <c r="H914" s="12">
        <f t="shared" si="514"/>
        <v>0</v>
      </c>
      <c r="I914" s="13">
        <f aca="true" t="shared" si="518" ref="I914:I915">ROUND(0,2)</f>
        <v>0</v>
      </c>
      <c r="J914" s="13"/>
      <c r="K914" s="13">
        <f t="shared" si="515"/>
        <v>0</v>
      </c>
      <c r="L914" s="13"/>
      <c r="M914" s="12">
        <f aca="true" t="shared" si="519" ref="M914:M915">ROUND(0,2)</f>
        <v>0</v>
      </c>
      <c r="N914" s="12">
        <f t="shared" si="516"/>
        <v>0</v>
      </c>
      <c r="O914" s="12">
        <f aca="true" t="shared" si="520" ref="O914:O915">ROUND(2652.86,2)</f>
        <v>2652.86</v>
      </c>
      <c r="P914" s="14">
        <v>100</v>
      </c>
      <c r="Q914" s="14">
        <v>0</v>
      </c>
    </row>
    <row r="915" spans="1:17" ht="12.75" customHeight="1">
      <c r="A915" s="15" t="s">
        <v>619</v>
      </c>
      <c r="B915" s="15"/>
      <c r="C915" s="15"/>
      <c r="D915" s="15"/>
      <c r="E915" s="16" t="s">
        <v>620</v>
      </c>
      <c r="F915" s="17">
        <f t="shared" si="517"/>
        <v>2652.86</v>
      </c>
      <c r="G915" s="17">
        <f>ROUND(0,2)</f>
        <v>0</v>
      </c>
      <c r="H915" s="17">
        <f t="shared" si="514"/>
        <v>0</v>
      </c>
      <c r="I915" s="17">
        <f t="shared" si="518"/>
        <v>0</v>
      </c>
      <c r="J915" s="17"/>
      <c r="K915" s="17">
        <f t="shared" si="515"/>
        <v>0</v>
      </c>
      <c r="L915" s="17"/>
      <c r="M915" s="17">
        <f t="shared" si="519"/>
        <v>0</v>
      </c>
      <c r="N915" s="17">
        <f t="shared" si="516"/>
        <v>0</v>
      </c>
      <c r="O915" s="17">
        <f t="shared" si="520"/>
        <v>2652.86</v>
      </c>
      <c r="P915" s="18">
        <v>0</v>
      </c>
      <c r="Q915" s="18">
        <v>0</v>
      </c>
    </row>
    <row r="916" spans="1:17" ht="12.75" customHeight="1">
      <c r="A916" s="10" t="s">
        <v>83</v>
      </c>
      <c r="B916" s="11" t="s">
        <v>621</v>
      </c>
      <c r="C916" s="11"/>
      <c r="D916" s="11"/>
      <c r="E916" s="12">
        <f>ROUND(0,2)</f>
        <v>0</v>
      </c>
      <c r="F916" s="12">
        <f aca="true" t="shared" si="521" ref="F916:F917">ROUND(16007.2,2)</f>
        <v>16007.2</v>
      </c>
      <c r="G916" s="12">
        <f>ROUND(16007.2,2)</f>
        <v>16007.2</v>
      </c>
      <c r="H916" s="12">
        <f>ROUND(16007.2,2)</f>
        <v>16007.2</v>
      </c>
      <c r="I916" s="13">
        <f>ROUND(16007.2,2)</f>
        <v>16007.2</v>
      </c>
      <c r="J916" s="13"/>
      <c r="K916" s="13">
        <f>ROUND(16007.2,2)</f>
        <v>16007.2</v>
      </c>
      <c r="L916" s="13"/>
      <c r="M916" s="12">
        <f>ROUND(16007.2,2)</f>
        <v>16007.2</v>
      </c>
      <c r="N916" s="12">
        <f>ROUND(16007.2,2)</f>
        <v>16007.2</v>
      </c>
      <c r="O916" s="12">
        <f aca="true" t="shared" si="522" ref="O916:O917">ROUND(0,2)</f>
        <v>0</v>
      </c>
      <c r="P916" s="14">
        <v>0</v>
      </c>
      <c r="Q916" s="14">
        <v>100</v>
      </c>
    </row>
    <row r="917" spans="1:17" ht="12.75" customHeight="1">
      <c r="A917" s="15" t="s">
        <v>617</v>
      </c>
      <c r="B917" s="15"/>
      <c r="C917" s="15"/>
      <c r="D917" s="15"/>
      <c r="E917" s="16" t="s">
        <v>622</v>
      </c>
      <c r="F917" s="17">
        <f t="shared" si="521"/>
        <v>16007.2</v>
      </c>
      <c r="G917" s="17">
        <f>ROUND(0,2)</f>
        <v>0</v>
      </c>
      <c r="H917" s="17">
        <f>ROUND(0,2)</f>
        <v>0</v>
      </c>
      <c r="I917" s="17">
        <f>ROUND(0,2)</f>
        <v>0</v>
      </c>
      <c r="J917" s="17"/>
      <c r="K917" s="17">
        <f>ROUND(0,2)</f>
        <v>0</v>
      </c>
      <c r="L917" s="17"/>
      <c r="M917" s="17">
        <f>ROUND(0,2)</f>
        <v>0</v>
      </c>
      <c r="N917" s="17">
        <f>ROUND(0,2)</f>
        <v>0</v>
      </c>
      <c r="O917" s="17">
        <f t="shared" si="522"/>
        <v>0</v>
      </c>
      <c r="P917" s="18">
        <v>100</v>
      </c>
      <c r="Q917" s="18">
        <v>100</v>
      </c>
    </row>
    <row r="918" spans="1:17" ht="12.75" customHeight="1">
      <c r="A918" s="10"/>
      <c r="B918" s="11" t="s">
        <v>623</v>
      </c>
      <c r="C918" s="11"/>
      <c r="D918" s="11"/>
      <c r="E918" s="12">
        <f>ROUND(370000,2)</f>
        <v>370000</v>
      </c>
      <c r="F918" s="12">
        <f aca="true" t="shared" si="523" ref="F918:F919">ROUND(0,2)</f>
        <v>0</v>
      </c>
      <c r="G918" s="12">
        <f>ROUND(370000,2)</f>
        <v>370000</v>
      </c>
      <c r="H918" s="12">
        <f>ROUND(334010.96,2)</f>
        <v>334010.96</v>
      </c>
      <c r="I918" s="13">
        <f>ROUND(334010.96,2)</f>
        <v>334010.96</v>
      </c>
      <c r="J918" s="13"/>
      <c r="K918" s="13">
        <f>ROUND(301440.34,2)</f>
        <v>301440.34</v>
      </c>
      <c r="L918" s="13"/>
      <c r="M918" s="12">
        <f>ROUND(301440.34,2)</f>
        <v>301440.34</v>
      </c>
      <c r="N918" s="12">
        <f>ROUND(301440.34,2)</f>
        <v>301440.34</v>
      </c>
      <c r="O918" s="12">
        <f>ROUND(35989.04,2)</f>
        <v>35989.04</v>
      </c>
      <c r="P918" s="14">
        <v>9.726767567567569</v>
      </c>
      <c r="Q918" s="14">
        <v>81.47036216216217</v>
      </c>
    </row>
    <row r="919" spans="1:17" ht="12.75" customHeight="1">
      <c r="A919" s="15" t="s">
        <v>624</v>
      </c>
      <c r="B919" s="15"/>
      <c r="C919" s="15"/>
      <c r="D919" s="15"/>
      <c r="E919" s="16" t="s">
        <v>601</v>
      </c>
      <c r="F919" s="17">
        <f t="shared" si="523"/>
        <v>0</v>
      </c>
      <c r="G919" s="17">
        <f>ROUND(0,2)</f>
        <v>0</v>
      </c>
      <c r="H919" s="17">
        <f>ROUND(0,2)</f>
        <v>0</v>
      </c>
      <c r="I919" s="17">
        <f>ROUND(32570.62,2)</f>
        <v>32570.62</v>
      </c>
      <c r="J919" s="17"/>
      <c r="K919" s="17">
        <f>ROUND(0,2)</f>
        <v>0</v>
      </c>
      <c r="L919" s="17"/>
      <c r="M919" s="17">
        <f>ROUND(0,2)</f>
        <v>0</v>
      </c>
      <c r="N919" s="17">
        <f>ROUND(0,2)</f>
        <v>0</v>
      </c>
      <c r="O919" s="17">
        <f>ROUND(68559.66,2)</f>
        <v>68559.66</v>
      </c>
      <c r="P919" s="18">
        <v>90.27323243243244</v>
      </c>
      <c r="Q919" s="18">
        <v>100</v>
      </c>
    </row>
    <row r="920" spans="1:17" ht="12.75" customHeight="1">
      <c r="A920" s="19" t="s">
        <v>37</v>
      </c>
      <c r="B920" s="19"/>
      <c r="C920" s="19"/>
      <c r="D920" s="19"/>
      <c r="E920" s="20">
        <f>SUM('DS1'!$A$241:$A$245)</f>
        <v>1520000</v>
      </c>
      <c r="F920" s="20">
        <v>18660.06</v>
      </c>
      <c r="G920" s="20">
        <v>1538660.06</v>
      </c>
      <c r="H920" s="20">
        <v>1490570.72</v>
      </c>
      <c r="I920" s="21">
        <v>1490570.72</v>
      </c>
      <c r="J920" s="21"/>
      <c r="K920" s="21">
        <v>1365875.67</v>
      </c>
      <c r="L920" s="21"/>
      <c r="M920" s="20">
        <v>1365875.67</v>
      </c>
      <c r="N920" s="20">
        <v>1346624.83</v>
      </c>
      <c r="O920" s="20">
        <v>44339.34</v>
      </c>
      <c r="P920" s="22">
        <v>2.881685250216997</v>
      </c>
      <c r="Q920" s="22">
        <v>88.77046369813485</v>
      </c>
    </row>
    <row r="921" spans="1:17" ht="12.75" customHeight="1">
      <c r="A921" s="23"/>
      <c r="B921" s="24"/>
      <c r="C921" s="24"/>
      <c r="D921" s="24"/>
      <c r="E921" s="23"/>
      <c r="F921" s="20">
        <v>18660.06</v>
      </c>
      <c r="G921" s="20">
        <v>3750</v>
      </c>
      <c r="H921" s="20">
        <v>0</v>
      </c>
      <c r="I921" s="21">
        <v>124695.04999999999</v>
      </c>
      <c r="J921" s="21"/>
      <c r="K921" s="21">
        <v>0</v>
      </c>
      <c r="L921" s="21"/>
      <c r="M921" s="20">
        <v>19250.840000000084</v>
      </c>
      <c r="N921" s="20">
        <v>0</v>
      </c>
      <c r="O921" s="20">
        <v>172784.38999999996</v>
      </c>
      <c r="P921" s="22">
        <v>96.87459619898108</v>
      </c>
      <c r="Q921" s="22">
        <v>98.59058621345822</v>
      </c>
    </row>
    <row r="922" spans="1:17" ht="20.25" customHeight="1">
      <c r="A922" s="23"/>
      <c r="B922" s="24"/>
      <c r="C922" s="24"/>
      <c r="D922" s="24"/>
      <c r="E922" s="23"/>
      <c r="F922" s="23"/>
      <c r="G922" s="23"/>
      <c r="H922" s="23"/>
      <c r="I922" s="24"/>
      <c r="J922" s="24"/>
      <c r="K922" s="24"/>
      <c r="L922" s="24"/>
      <c r="M922" s="23"/>
      <c r="N922" s="23"/>
      <c r="O922" s="23"/>
      <c r="P922" s="23"/>
      <c r="Q922" s="23"/>
    </row>
    <row r="923" spans="1:17" ht="12.75" customHeight="1">
      <c r="A923" s="10" t="s">
        <v>83</v>
      </c>
      <c r="B923" s="11" t="s">
        <v>625</v>
      </c>
      <c r="C923" s="11"/>
      <c r="D923" s="11"/>
      <c r="E923" s="12">
        <f>ROUND(0,2)</f>
        <v>0</v>
      </c>
      <c r="F923" s="12">
        <f aca="true" t="shared" si="524" ref="F923:F924">ROUND(34240,2)</f>
        <v>34240</v>
      </c>
      <c r="G923" s="12">
        <f>ROUND(34240,2)</f>
        <v>34240</v>
      </c>
      <c r="H923" s="12">
        <f>ROUND(34240,2)</f>
        <v>34240</v>
      </c>
      <c r="I923" s="13">
        <f>ROUND(34240,2)</f>
        <v>34240</v>
      </c>
      <c r="J923" s="13"/>
      <c r="K923" s="13">
        <f>ROUND(32318.03,2)</f>
        <v>32318.03</v>
      </c>
      <c r="L923" s="13"/>
      <c r="M923" s="12">
        <f>ROUND(32318.03,2)</f>
        <v>32318.03</v>
      </c>
      <c r="N923" s="12">
        <f>ROUND(32318.03,2)</f>
        <v>32318.03</v>
      </c>
      <c r="O923" s="12">
        <f>ROUND(0,2)</f>
        <v>0</v>
      </c>
      <c r="P923" s="14">
        <v>0</v>
      </c>
      <c r="Q923" s="14">
        <v>94.38676985981309</v>
      </c>
    </row>
    <row r="924" spans="1:17" ht="12.75" customHeight="1">
      <c r="A924" s="15" t="s">
        <v>626</v>
      </c>
      <c r="B924" s="15"/>
      <c r="C924" s="15"/>
      <c r="D924" s="15"/>
      <c r="E924" s="16" t="s">
        <v>627</v>
      </c>
      <c r="F924" s="17">
        <f t="shared" si="524"/>
        <v>34240</v>
      </c>
      <c r="G924" s="17">
        <f>ROUND(0,2)</f>
        <v>0</v>
      </c>
      <c r="H924" s="17">
        <f>ROUND(0,2)</f>
        <v>0</v>
      </c>
      <c r="I924" s="17">
        <f>ROUND(1921.97,2)</f>
        <v>1921.97</v>
      </c>
      <c r="J924" s="17"/>
      <c r="K924" s="17">
        <f>ROUND(0,2)</f>
        <v>0</v>
      </c>
      <c r="L924" s="17"/>
      <c r="M924" s="17">
        <f>ROUND(0,2)</f>
        <v>0</v>
      </c>
      <c r="N924" s="17">
        <f>ROUND(0,2)</f>
        <v>0</v>
      </c>
      <c r="O924" s="17">
        <f>ROUND(1921.97,2)</f>
        <v>1921.97</v>
      </c>
      <c r="P924" s="18">
        <v>100</v>
      </c>
      <c r="Q924" s="18">
        <v>100</v>
      </c>
    </row>
    <row r="925" spans="1:17" ht="12.75" customHeight="1">
      <c r="A925" s="19" t="s">
        <v>210</v>
      </c>
      <c r="B925" s="19"/>
      <c r="C925" s="19"/>
      <c r="D925" s="19"/>
      <c r="E925" s="20">
        <f>SUM('DS1'!$A$246)</f>
        <v>0</v>
      </c>
      <c r="F925" s="20">
        <v>34240</v>
      </c>
      <c r="G925" s="20">
        <v>34240</v>
      </c>
      <c r="H925" s="20">
        <v>34240</v>
      </c>
      <c r="I925" s="21">
        <v>34240</v>
      </c>
      <c r="J925" s="21"/>
      <c r="K925" s="21">
        <v>32318.03</v>
      </c>
      <c r="L925" s="21"/>
      <c r="M925" s="20">
        <v>32318.03</v>
      </c>
      <c r="N925" s="20">
        <v>32318.03</v>
      </c>
      <c r="O925" s="20">
        <v>0</v>
      </c>
      <c r="P925" s="22">
        <v>0</v>
      </c>
      <c r="Q925" s="22">
        <v>94.38676985981309</v>
      </c>
    </row>
    <row r="926" spans="1:17" ht="12.75" customHeight="1">
      <c r="A926" s="23"/>
      <c r="B926" s="24"/>
      <c r="C926" s="24"/>
      <c r="D926" s="24"/>
      <c r="E926" s="23"/>
      <c r="F926" s="20">
        <v>34240</v>
      </c>
      <c r="G926" s="20">
        <v>0</v>
      </c>
      <c r="H926" s="20">
        <v>0</v>
      </c>
      <c r="I926" s="21">
        <v>1921.9700000000012</v>
      </c>
      <c r="J926" s="21"/>
      <c r="K926" s="21">
        <v>0</v>
      </c>
      <c r="L926" s="21"/>
      <c r="M926" s="20">
        <v>0</v>
      </c>
      <c r="N926" s="20">
        <v>0</v>
      </c>
      <c r="O926" s="20">
        <v>1921.9700000000012</v>
      </c>
      <c r="P926" s="22">
        <v>100</v>
      </c>
      <c r="Q926" s="22">
        <v>100</v>
      </c>
    </row>
    <row r="927" spans="1:17" ht="20.25" customHeight="1">
      <c r="A927" s="23"/>
      <c r="B927" s="24"/>
      <c r="C927" s="24"/>
      <c r="D927" s="24"/>
      <c r="E927" s="23"/>
      <c r="F927" s="23"/>
      <c r="G927" s="23"/>
      <c r="H927" s="23"/>
      <c r="I927" s="24"/>
      <c r="J927" s="24"/>
      <c r="K927" s="24"/>
      <c r="L927" s="24"/>
      <c r="M927" s="23"/>
      <c r="N927" s="23"/>
      <c r="O927" s="23"/>
      <c r="P927" s="23"/>
      <c r="Q927" s="23"/>
    </row>
    <row r="928" spans="1:17" ht="12.75" customHeight="1">
      <c r="A928" s="10"/>
      <c r="B928" s="11" t="s">
        <v>628</v>
      </c>
      <c r="C928" s="11"/>
      <c r="D928" s="11"/>
      <c r="E928" s="12">
        <f>ROUND(0,2)</f>
        <v>0</v>
      </c>
      <c r="F928" s="12">
        <f>ROUND(5000,2)</f>
        <v>5000</v>
      </c>
      <c r="G928" s="12">
        <f>ROUND(5000,2)</f>
        <v>5000</v>
      </c>
      <c r="H928" s="12">
        <f aca="true" t="shared" si="525" ref="H928:H929">ROUND(0,2)</f>
        <v>0</v>
      </c>
      <c r="I928" s="13">
        <f aca="true" t="shared" si="526" ref="I928:I929">ROUND(0,2)</f>
        <v>0</v>
      </c>
      <c r="J928" s="13"/>
      <c r="K928" s="13">
        <f aca="true" t="shared" si="527" ref="K928:K929">ROUND(0,2)</f>
        <v>0</v>
      </c>
      <c r="L928" s="13"/>
      <c r="M928" s="12">
        <f aca="true" t="shared" si="528" ref="M928:M929">ROUND(0,2)</f>
        <v>0</v>
      </c>
      <c r="N928" s="12">
        <f aca="true" t="shared" si="529" ref="N928:N929">ROUND(0,2)</f>
        <v>0</v>
      </c>
      <c r="O928" s="12">
        <f aca="true" t="shared" si="530" ref="O928:O929">ROUND(5000,2)</f>
        <v>5000</v>
      </c>
      <c r="P928" s="14">
        <v>100</v>
      </c>
      <c r="Q928" s="14">
        <v>0</v>
      </c>
    </row>
    <row r="929" spans="1:17" ht="12.75" customHeight="1">
      <c r="A929" s="15" t="s">
        <v>629</v>
      </c>
      <c r="B929" s="15"/>
      <c r="C929" s="15"/>
      <c r="D929" s="15"/>
      <c r="E929" s="16" t="s">
        <v>630</v>
      </c>
      <c r="F929" s="17">
        <f>ROUND(0,2)</f>
        <v>0</v>
      </c>
      <c r="G929" s="17">
        <f>ROUND(0,2)</f>
        <v>0</v>
      </c>
      <c r="H929" s="17">
        <f t="shared" si="525"/>
        <v>0</v>
      </c>
      <c r="I929" s="17">
        <f t="shared" si="526"/>
        <v>0</v>
      </c>
      <c r="J929" s="17"/>
      <c r="K929" s="17">
        <f t="shared" si="527"/>
        <v>0</v>
      </c>
      <c r="L929" s="17"/>
      <c r="M929" s="17">
        <f t="shared" si="528"/>
        <v>0</v>
      </c>
      <c r="N929" s="17">
        <f t="shared" si="529"/>
        <v>0</v>
      </c>
      <c r="O929" s="17">
        <f t="shared" si="530"/>
        <v>5000</v>
      </c>
      <c r="P929" s="18">
        <v>0</v>
      </c>
      <c r="Q929" s="18">
        <v>0</v>
      </c>
    </row>
    <row r="930" spans="1:17" ht="12.75" customHeight="1">
      <c r="A930" s="19" t="s">
        <v>316</v>
      </c>
      <c r="B930" s="19"/>
      <c r="C930" s="19"/>
      <c r="D930" s="19"/>
      <c r="E930" s="20">
        <f>SUM('DS1'!$A$247)</f>
        <v>0</v>
      </c>
      <c r="F930" s="20">
        <v>5000</v>
      </c>
      <c r="G930" s="20">
        <v>5000</v>
      </c>
      <c r="H930" s="20">
        <v>0</v>
      </c>
      <c r="I930" s="21">
        <v>0</v>
      </c>
      <c r="J930" s="21"/>
      <c r="K930" s="21">
        <v>0</v>
      </c>
      <c r="L930" s="21"/>
      <c r="M930" s="20">
        <v>0</v>
      </c>
      <c r="N930" s="20">
        <v>0</v>
      </c>
      <c r="O930" s="20">
        <v>5000</v>
      </c>
      <c r="P930" s="22">
        <v>100</v>
      </c>
      <c r="Q930" s="22">
        <v>0</v>
      </c>
    </row>
    <row r="931" spans="1:17" ht="12.75" customHeight="1">
      <c r="A931" s="23"/>
      <c r="B931" s="24"/>
      <c r="C931" s="24"/>
      <c r="D931" s="24"/>
      <c r="E931" s="23"/>
      <c r="F931" s="20">
        <v>0</v>
      </c>
      <c r="G931" s="20">
        <v>0</v>
      </c>
      <c r="H931" s="20">
        <v>0</v>
      </c>
      <c r="I931" s="21">
        <v>0</v>
      </c>
      <c r="J931" s="21"/>
      <c r="K931" s="21">
        <v>0</v>
      </c>
      <c r="L931" s="21"/>
      <c r="M931" s="20">
        <v>0</v>
      </c>
      <c r="N931" s="20">
        <v>0</v>
      </c>
      <c r="O931" s="20">
        <v>5000</v>
      </c>
      <c r="P931" s="22">
        <v>0</v>
      </c>
      <c r="Q931" s="22">
        <v>0</v>
      </c>
    </row>
    <row r="932" spans="1:17" ht="20.25" customHeight="1">
      <c r="A932" s="23"/>
      <c r="B932" s="24"/>
      <c r="C932" s="24"/>
      <c r="D932" s="24"/>
      <c r="E932" s="23"/>
      <c r="F932" s="23"/>
      <c r="G932" s="23"/>
      <c r="H932" s="23"/>
      <c r="I932" s="24"/>
      <c r="J932" s="24"/>
      <c r="K932" s="24"/>
      <c r="L932" s="24"/>
      <c r="M932" s="23"/>
      <c r="N932" s="23"/>
      <c r="O932" s="23"/>
      <c r="P932" s="23"/>
      <c r="Q932" s="23"/>
    </row>
    <row r="933" spans="1:17" ht="12.75" customHeight="1">
      <c r="A933" s="19" t="s">
        <v>631</v>
      </c>
      <c r="B933" s="19"/>
      <c r="C933" s="19"/>
      <c r="D933" s="19"/>
      <c r="E933" s="20">
        <f>SUM('DS1'!$A$229:$A$247)</f>
        <v>1928500</v>
      </c>
      <c r="F933" s="20">
        <v>65728.29000000001</v>
      </c>
      <c r="G933" s="20">
        <v>1994228.29</v>
      </c>
      <c r="H933" s="20">
        <v>1717948.17</v>
      </c>
      <c r="I933" s="21">
        <v>1717948.17</v>
      </c>
      <c r="J933" s="21"/>
      <c r="K933" s="21">
        <v>1590348.84</v>
      </c>
      <c r="L933" s="21"/>
      <c r="M933" s="20">
        <v>1590348.84</v>
      </c>
      <c r="N933" s="20">
        <v>1569334.25</v>
      </c>
      <c r="O933" s="20">
        <v>270500.65</v>
      </c>
      <c r="P933" s="22">
        <v>13.564176747287043</v>
      </c>
      <c r="Q933" s="22">
        <v>79.74758195813179</v>
      </c>
    </row>
    <row r="934" spans="1:17" ht="12.75" customHeight="1">
      <c r="A934" s="23"/>
      <c r="B934" s="24"/>
      <c r="C934" s="24"/>
      <c r="D934" s="24"/>
      <c r="E934" s="23"/>
      <c r="F934" s="20">
        <v>65728.29</v>
      </c>
      <c r="G934" s="20">
        <v>5779.4699999999975</v>
      </c>
      <c r="H934" s="20">
        <v>0</v>
      </c>
      <c r="I934" s="21">
        <v>127599.32999999999</v>
      </c>
      <c r="J934" s="21"/>
      <c r="K934" s="21">
        <v>0</v>
      </c>
      <c r="L934" s="21"/>
      <c r="M934" s="20">
        <v>21014.59000000009</v>
      </c>
      <c r="N934" s="20">
        <v>0</v>
      </c>
      <c r="O934" s="20">
        <v>403879.44999999995</v>
      </c>
      <c r="P934" s="22">
        <v>86.14601340351058</v>
      </c>
      <c r="Q934" s="22">
        <v>98.67861757927272</v>
      </c>
    </row>
    <row r="935" spans="1:17" ht="18" customHeight="1">
      <c r="A935" s="23"/>
      <c r="B935" s="24"/>
      <c r="C935" s="24"/>
      <c r="D935" s="24"/>
      <c r="E935" s="23"/>
      <c r="F935" s="23"/>
      <c r="G935" s="23"/>
      <c r="H935" s="23"/>
      <c r="I935" s="24"/>
      <c r="J935" s="24"/>
      <c r="K935" s="24"/>
      <c r="L935" s="24"/>
      <c r="M935" s="23"/>
      <c r="N935" s="23"/>
      <c r="O935" s="23"/>
      <c r="P935" s="23"/>
      <c r="Q935" s="23"/>
    </row>
    <row r="936" spans="1:17" ht="12.75" customHeight="1">
      <c r="A936" s="10"/>
      <c r="B936" s="11" t="s">
        <v>632</v>
      </c>
      <c r="C936" s="11"/>
      <c r="D936" s="11"/>
      <c r="E936" s="12">
        <f>ROUND(1500,2)</f>
        <v>1500</v>
      </c>
      <c r="F936" s="12">
        <f aca="true" t="shared" si="531" ref="F936:F937">ROUND(0,2)</f>
        <v>0</v>
      </c>
      <c r="G936" s="12">
        <f>ROUND(1500,2)</f>
        <v>1500</v>
      </c>
      <c r="H936" s="12">
        <f aca="true" t="shared" si="532" ref="H936:H937">ROUND(0,2)</f>
        <v>0</v>
      </c>
      <c r="I936" s="13">
        <f aca="true" t="shared" si="533" ref="I936:I937">ROUND(0,2)</f>
        <v>0</v>
      </c>
      <c r="J936" s="13"/>
      <c r="K936" s="13">
        <f aca="true" t="shared" si="534" ref="K936:K937">ROUND(0,2)</f>
        <v>0</v>
      </c>
      <c r="L936" s="13"/>
      <c r="M936" s="12">
        <f aca="true" t="shared" si="535" ref="M936:M937">ROUND(0,2)</f>
        <v>0</v>
      </c>
      <c r="N936" s="12">
        <f aca="true" t="shared" si="536" ref="N936:N937">ROUND(0,2)</f>
        <v>0</v>
      </c>
      <c r="O936" s="12">
        <f aca="true" t="shared" si="537" ref="O936:O937">ROUND(1500,2)</f>
        <v>1500</v>
      </c>
      <c r="P936" s="14">
        <v>100</v>
      </c>
      <c r="Q936" s="14">
        <v>0</v>
      </c>
    </row>
    <row r="937" spans="1:17" ht="12.75" customHeight="1">
      <c r="A937" s="15" t="s">
        <v>633</v>
      </c>
      <c r="B937" s="15"/>
      <c r="C937" s="15"/>
      <c r="D937" s="15"/>
      <c r="E937" s="16" t="s">
        <v>601</v>
      </c>
      <c r="F937" s="17">
        <f t="shared" si="531"/>
        <v>0</v>
      </c>
      <c r="G937" s="17">
        <f>ROUND(0,2)</f>
        <v>0</v>
      </c>
      <c r="H937" s="17">
        <f t="shared" si="532"/>
        <v>0</v>
      </c>
      <c r="I937" s="17">
        <f t="shared" si="533"/>
        <v>0</v>
      </c>
      <c r="J937" s="17"/>
      <c r="K937" s="17">
        <f t="shared" si="534"/>
        <v>0</v>
      </c>
      <c r="L937" s="17"/>
      <c r="M937" s="17">
        <f t="shared" si="535"/>
        <v>0</v>
      </c>
      <c r="N937" s="17">
        <f t="shared" si="536"/>
        <v>0</v>
      </c>
      <c r="O937" s="17">
        <f t="shared" si="537"/>
        <v>1500</v>
      </c>
      <c r="P937" s="18">
        <v>0</v>
      </c>
      <c r="Q937" s="18">
        <v>0</v>
      </c>
    </row>
    <row r="938" spans="1:17" ht="12.75" customHeight="1">
      <c r="A938" s="19" t="s">
        <v>183</v>
      </c>
      <c r="B938" s="19"/>
      <c r="C938" s="19"/>
      <c r="D938" s="19"/>
      <c r="E938" s="20">
        <f>SUM('DS1'!$A$248)</f>
        <v>1500</v>
      </c>
      <c r="F938" s="20">
        <v>0</v>
      </c>
      <c r="G938" s="20">
        <v>1500</v>
      </c>
      <c r="H938" s="20">
        <v>0</v>
      </c>
      <c r="I938" s="21">
        <v>0</v>
      </c>
      <c r="J938" s="21"/>
      <c r="K938" s="21">
        <v>0</v>
      </c>
      <c r="L938" s="21"/>
      <c r="M938" s="20">
        <v>0</v>
      </c>
      <c r="N938" s="20">
        <v>0</v>
      </c>
      <c r="O938" s="20">
        <v>1500</v>
      </c>
      <c r="P938" s="22">
        <v>100</v>
      </c>
      <c r="Q938" s="22">
        <v>0</v>
      </c>
    </row>
    <row r="939" spans="1:17" ht="12.75" customHeight="1">
      <c r="A939" s="23"/>
      <c r="B939" s="24"/>
      <c r="C939" s="24"/>
      <c r="D939" s="24"/>
      <c r="E939" s="23"/>
      <c r="F939" s="20">
        <v>0</v>
      </c>
      <c r="G939" s="20">
        <v>0</v>
      </c>
      <c r="H939" s="20">
        <v>0</v>
      </c>
      <c r="I939" s="21">
        <v>0</v>
      </c>
      <c r="J939" s="21"/>
      <c r="K939" s="21">
        <v>0</v>
      </c>
      <c r="L939" s="21"/>
      <c r="M939" s="20">
        <v>0</v>
      </c>
      <c r="N939" s="20">
        <v>0</v>
      </c>
      <c r="O939" s="20">
        <v>1500</v>
      </c>
      <c r="P939" s="22">
        <v>0</v>
      </c>
      <c r="Q939" s="22">
        <v>0</v>
      </c>
    </row>
    <row r="940" spans="1:17" ht="20.25" customHeight="1">
      <c r="A940" s="23"/>
      <c r="B940" s="24"/>
      <c r="C940" s="24"/>
      <c r="D940" s="24"/>
      <c r="E940" s="23"/>
      <c r="F940" s="23"/>
      <c r="G940" s="23"/>
      <c r="H940" s="23"/>
      <c r="I940" s="24"/>
      <c r="J940" s="24"/>
      <c r="K940" s="24"/>
      <c r="L940" s="24"/>
      <c r="M940" s="23"/>
      <c r="N940" s="23"/>
      <c r="O940" s="23"/>
      <c r="P940" s="23"/>
      <c r="Q940" s="23"/>
    </row>
    <row r="941" spans="1:17" ht="12.75" customHeight="1">
      <c r="A941" s="10"/>
      <c r="B941" s="11" t="s">
        <v>634</v>
      </c>
      <c r="C941" s="11"/>
      <c r="D941" s="11"/>
      <c r="E941" s="12">
        <f>ROUND(425000,2)</f>
        <v>425000</v>
      </c>
      <c r="F941" s="12">
        <f>ROUND(140000,2)</f>
        <v>140000</v>
      </c>
      <c r="G941" s="12">
        <f>ROUND(565000,2)</f>
        <v>565000</v>
      </c>
      <c r="H941" s="12">
        <f>ROUND(515200,2)</f>
        <v>515200</v>
      </c>
      <c r="I941" s="13">
        <f>ROUND(515200,2)</f>
        <v>515200</v>
      </c>
      <c r="J941" s="13"/>
      <c r="K941" s="13">
        <f>ROUND(515200,2)</f>
        <v>515200</v>
      </c>
      <c r="L941" s="13"/>
      <c r="M941" s="12">
        <f>ROUND(515200,2)</f>
        <v>515200</v>
      </c>
      <c r="N941" s="12">
        <f>ROUND(335084.87,2)</f>
        <v>335084.87</v>
      </c>
      <c r="O941" s="12">
        <f aca="true" t="shared" si="538" ref="O941:O942">ROUND(49800,2)</f>
        <v>49800</v>
      </c>
      <c r="P941" s="14">
        <v>8.814159292035399</v>
      </c>
      <c r="Q941" s="14">
        <v>91.1858407079646</v>
      </c>
    </row>
    <row r="942" spans="1:17" ht="12.75" customHeight="1">
      <c r="A942" s="15" t="s">
        <v>635</v>
      </c>
      <c r="B942" s="15"/>
      <c r="C942" s="15"/>
      <c r="D942" s="15"/>
      <c r="E942" s="16" t="s">
        <v>636</v>
      </c>
      <c r="F942" s="17">
        <f>ROUND(0,2)</f>
        <v>0</v>
      </c>
      <c r="G942" s="17">
        <f>ROUND(0,2)</f>
        <v>0</v>
      </c>
      <c r="H942" s="17">
        <f>ROUND(0,2)</f>
        <v>0</v>
      </c>
      <c r="I942" s="17">
        <f>ROUND(0,2)</f>
        <v>0</v>
      </c>
      <c r="J942" s="17"/>
      <c r="K942" s="17">
        <f>ROUND(0,2)</f>
        <v>0</v>
      </c>
      <c r="L942" s="17"/>
      <c r="M942" s="17">
        <f>ROUND(180115.13,2)</f>
        <v>180115.13</v>
      </c>
      <c r="N942" s="17">
        <f>ROUND(2350,2)</f>
        <v>2350</v>
      </c>
      <c r="O942" s="17">
        <f t="shared" si="538"/>
        <v>49800</v>
      </c>
      <c r="P942" s="18">
        <v>91.1858407079646</v>
      </c>
      <c r="Q942" s="18">
        <v>65.03976513975155</v>
      </c>
    </row>
    <row r="943" spans="1:17" ht="12.75" customHeight="1">
      <c r="A943" s="19" t="s">
        <v>564</v>
      </c>
      <c r="B943" s="19"/>
      <c r="C943" s="19"/>
      <c r="D943" s="19"/>
      <c r="E943" s="20">
        <f>SUM('DS1'!$A$249)</f>
        <v>425000</v>
      </c>
      <c r="F943" s="20">
        <v>140000</v>
      </c>
      <c r="G943" s="20">
        <v>565000</v>
      </c>
      <c r="H943" s="20">
        <v>515200</v>
      </c>
      <c r="I943" s="21">
        <v>515200</v>
      </c>
      <c r="J943" s="21"/>
      <c r="K943" s="21">
        <v>515200</v>
      </c>
      <c r="L943" s="21"/>
      <c r="M943" s="20">
        <v>515200</v>
      </c>
      <c r="N943" s="20">
        <v>335084.87</v>
      </c>
      <c r="O943" s="20">
        <v>49800</v>
      </c>
      <c r="P943" s="22">
        <v>8.814159292035399</v>
      </c>
      <c r="Q943" s="22">
        <v>91.1858407079646</v>
      </c>
    </row>
    <row r="944" spans="1:17" ht="12.75" customHeight="1">
      <c r="A944" s="23"/>
      <c r="B944" s="24"/>
      <c r="C944" s="24"/>
      <c r="D944" s="24"/>
      <c r="E944" s="23"/>
      <c r="F944" s="20">
        <v>0</v>
      </c>
      <c r="G944" s="20">
        <v>0</v>
      </c>
      <c r="H944" s="20">
        <v>0</v>
      </c>
      <c r="I944" s="21">
        <v>0</v>
      </c>
      <c r="J944" s="21"/>
      <c r="K944" s="21">
        <v>0</v>
      </c>
      <c r="L944" s="21"/>
      <c r="M944" s="20">
        <v>180115.13</v>
      </c>
      <c r="N944" s="20">
        <v>2350</v>
      </c>
      <c r="O944" s="20">
        <v>49800</v>
      </c>
      <c r="P944" s="22">
        <v>91.1858407079646</v>
      </c>
      <c r="Q944" s="22">
        <v>65.03976513975155</v>
      </c>
    </row>
    <row r="945" spans="1:17" ht="20.25" customHeight="1">
      <c r="A945" s="23"/>
      <c r="B945" s="24"/>
      <c r="C945" s="24"/>
      <c r="D945" s="24"/>
      <c r="E945" s="23"/>
      <c r="F945" s="23"/>
      <c r="G945" s="23"/>
      <c r="H945" s="23"/>
      <c r="I945" s="24"/>
      <c r="J945" s="24"/>
      <c r="K945" s="24"/>
      <c r="L945" s="24"/>
      <c r="M945" s="23"/>
      <c r="N945" s="23"/>
      <c r="O945" s="23"/>
      <c r="P945" s="23"/>
      <c r="Q945" s="23"/>
    </row>
    <row r="946" spans="1:17" ht="12.75" customHeight="1">
      <c r="A946" s="10"/>
      <c r="B946" s="11" t="s">
        <v>637</v>
      </c>
      <c r="C946" s="11"/>
      <c r="D946" s="11"/>
      <c r="E946" s="12">
        <f>ROUND(86000,2)</f>
        <v>86000</v>
      </c>
      <c r="F946" s="12">
        <f>ROUND(-40000,2)</f>
        <v>-40000</v>
      </c>
      <c r="G946" s="12">
        <f>ROUND(46000,2)</f>
        <v>46000</v>
      </c>
      <c r="H946" s="12">
        <f>ROUND(13970.25,2)</f>
        <v>13970.25</v>
      </c>
      <c r="I946" s="13">
        <f>ROUND(13970.25,2)</f>
        <v>13970.25</v>
      </c>
      <c r="J946" s="13"/>
      <c r="K946" s="13">
        <f>ROUND(13970.25,2)</f>
        <v>13970.25</v>
      </c>
      <c r="L946" s="13"/>
      <c r="M946" s="12">
        <f>ROUND(13970.25,2)</f>
        <v>13970.25</v>
      </c>
      <c r="N946" s="12">
        <f>ROUND(12199.16,2)</f>
        <v>12199.16</v>
      </c>
      <c r="O946" s="12">
        <f aca="true" t="shared" si="539" ref="O946:O947">ROUND(32029.75,2)</f>
        <v>32029.75</v>
      </c>
      <c r="P946" s="14">
        <v>69.62989130434782</v>
      </c>
      <c r="Q946" s="14">
        <v>30.370108695652178</v>
      </c>
    </row>
    <row r="947" spans="1:17" ht="12.75" customHeight="1">
      <c r="A947" s="15" t="s">
        <v>638</v>
      </c>
      <c r="B947" s="15"/>
      <c r="C947" s="15"/>
      <c r="D947" s="15"/>
      <c r="E947" s="16" t="s">
        <v>636</v>
      </c>
      <c r="F947" s="17">
        <f>ROUND(0,2)</f>
        <v>0</v>
      </c>
      <c r="G947" s="17">
        <f>ROUND(0,2)</f>
        <v>0</v>
      </c>
      <c r="H947" s="17">
        <f>ROUND(0,2)</f>
        <v>0</v>
      </c>
      <c r="I947" s="17">
        <f>ROUND(0,2)</f>
        <v>0</v>
      </c>
      <c r="J947" s="17"/>
      <c r="K947" s="17">
        <f>ROUND(0,2)</f>
        <v>0</v>
      </c>
      <c r="L947" s="17"/>
      <c r="M947" s="17">
        <f>ROUND(1771.09,2)</f>
        <v>1771.09</v>
      </c>
      <c r="N947" s="17">
        <f>ROUND(0,2)</f>
        <v>0</v>
      </c>
      <c r="O947" s="17">
        <f t="shared" si="539"/>
        <v>32029.75</v>
      </c>
      <c r="P947" s="18">
        <v>16.244476744186045</v>
      </c>
      <c r="Q947" s="18">
        <v>87.32241727957624</v>
      </c>
    </row>
    <row r="948" spans="1:17" ht="12.75" customHeight="1">
      <c r="A948" s="10" t="s">
        <v>83</v>
      </c>
      <c r="B948" s="11" t="s">
        <v>639</v>
      </c>
      <c r="C948" s="11"/>
      <c r="D948" s="11"/>
      <c r="E948" s="12">
        <f>ROUND(0,2)</f>
        <v>0</v>
      </c>
      <c r="F948" s="12">
        <f aca="true" t="shared" si="540" ref="F948:F949">ROUND(46870.06,2)</f>
        <v>46870.06</v>
      </c>
      <c r="G948" s="12">
        <f>ROUND(46870.06,2)</f>
        <v>46870.06</v>
      </c>
      <c r="H948" s="12">
        <f>ROUND(46870.06,2)</f>
        <v>46870.06</v>
      </c>
      <c r="I948" s="13">
        <f>ROUND(46870.06,2)</f>
        <v>46870.06</v>
      </c>
      <c r="J948" s="13"/>
      <c r="K948" s="13">
        <f>ROUND(46870.06,2)</f>
        <v>46870.06</v>
      </c>
      <c r="L948" s="13"/>
      <c r="M948" s="12">
        <f>ROUND(46870.06,2)</f>
        <v>46870.06</v>
      </c>
      <c r="N948" s="12">
        <f>ROUND(46870.06,2)</f>
        <v>46870.06</v>
      </c>
      <c r="O948" s="12">
        <f aca="true" t="shared" si="541" ref="O948:O949">ROUND(0,2)</f>
        <v>0</v>
      </c>
      <c r="P948" s="14">
        <v>0</v>
      </c>
      <c r="Q948" s="14">
        <v>100</v>
      </c>
    </row>
    <row r="949" spans="1:17" ht="12.75" customHeight="1">
      <c r="A949" s="15" t="s">
        <v>638</v>
      </c>
      <c r="B949" s="15"/>
      <c r="C949" s="15"/>
      <c r="D949" s="15"/>
      <c r="E949" s="16" t="s">
        <v>640</v>
      </c>
      <c r="F949" s="17">
        <f t="shared" si="540"/>
        <v>46870.06</v>
      </c>
      <c r="G949" s="17">
        <f>ROUND(0,2)</f>
        <v>0</v>
      </c>
      <c r="H949" s="17">
        <f>ROUND(0,2)</f>
        <v>0</v>
      </c>
      <c r="I949" s="17">
        <f>ROUND(0,2)</f>
        <v>0</v>
      </c>
      <c r="J949" s="17"/>
      <c r="K949" s="17">
        <f>ROUND(0,2)</f>
        <v>0</v>
      </c>
      <c r="L949" s="17"/>
      <c r="M949" s="17">
        <f>ROUND(0,2)</f>
        <v>0</v>
      </c>
      <c r="N949" s="17">
        <f>ROUND(0,2)</f>
        <v>0</v>
      </c>
      <c r="O949" s="17">
        <f t="shared" si="541"/>
        <v>0</v>
      </c>
      <c r="P949" s="18">
        <v>100</v>
      </c>
      <c r="Q949" s="18">
        <v>100</v>
      </c>
    </row>
    <row r="950" spans="1:17" ht="12.75" customHeight="1">
      <c r="A950" s="19" t="s">
        <v>461</v>
      </c>
      <c r="B950" s="19"/>
      <c r="C950" s="19"/>
      <c r="D950" s="19"/>
      <c r="E950" s="20">
        <f>SUM('DS1'!$A$250:$A$251)</f>
        <v>86000</v>
      </c>
      <c r="F950" s="20">
        <v>6870.059999999998</v>
      </c>
      <c r="G950" s="20">
        <v>92870.06</v>
      </c>
      <c r="H950" s="20">
        <v>60840.31</v>
      </c>
      <c r="I950" s="21">
        <v>60840.31</v>
      </c>
      <c r="J950" s="21"/>
      <c r="K950" s="21">
        <v>60840.31</v>
      </c>
      <c r="L950" s="21"/>
      <c r="M950" s="20">
        <v>60840.31</v>
      </c>
      <c r="N950" s="20">
        <v>59069.22</v>
      </c>
      <c r="O950" s="20">
        <v>32029.75</v>
      </c>
      <c r="P950" s="22">
        <v>34.48877926858236</v>
      </c>
      <c r="Q950" s="22">
        <v>65.51122073141764</v>
      </c>
    </row>
    <row r="951" spans="1:17" ht="12.75" customHeight="1">
      <c r="A951" s="23"/>
      <c r="B951" s="24"/>
      <c r="C951" s="24"/>
      <c r="D951" s="24"/>
      <c r="E951" s="23"/>
      <c r="F951" s="20">
        <v>46870.06</v>
      </c>
      <c r="G951" s="20">
        <v>0</v>
      </c>
      <c r="H951" s="20">
        <v>0</v>
      </c>
      <c r="I951" s="21">
        <v>0</v>
      </c>
      <c r="J951" s="21"/>
      <c r="K951" s="21">
        <v>0</v>
      </c>
      <c r="L951" s="21"/>
      <c r="M951" s="20">
        <v>1771.09</v>
      </c>
      <c r="N951" s="20">
        <v>0</v>
      </c>
      <c r="O951" s="20">
        <v>32029.75</v>
      </c>
      <c r="P951" s="22">
        <v>65.51122073141764</v>
      </c>
      <c r="Q951" s="22">
        <v>97.08895303130441</v>
      </c>
    </row>
    <row r="952" spans="1:17" ht="20.25" customHeight="1">
      <c r="A952" s="23"/>
      <c r="B952" s="24"/>
      <c r="C952" s="24"/>
      <c r="D952" s="24"/>
      <c r="E952" s="23"/>
      <c r="F952" s="23"/>
      <c r="G952" s="23"/>
      <c r="H952" s="23"/>
      <c r="I952" s="24"/>
      <c r="J952" s="24"/>
      <c r="K952" s="24"/>
      <c r="L952" s="24"/>
      <c r="M952" s="23"/>
      <c r="N952" s="23"/>
      <c r="O952" s="23"/>
      <c r="P952" s="23"/>
      <c r="Q952" s="23"/>
    </row>
    <row r="953" spans="1:17" ht="12.75" customHeight="1">
      <c r="A953" s="19" t="s">
        <v>641</v>
      </c>
      <c r="B953" s="19"/>
      <c r="C953" s="19"/>
      <c r="D953" s="19"/>
      <c r="E953" s="20">
        <f>SUM('DS1'!$A$248:$A$251)</f>
        <v>512500</v>
      </c>
      <c r="F953" s="20">
        <v>146870.06</v>
      </c>
      <c r="G953" s="20">
        <v>659370.06</v>
      </c>
      <c r="H953" s="20">
        <v>576040.31</v>
      </c>
      <c r="I953" s="21">
        <v>576040.31</v>
      </c>
      <c r="J953" s="21"/>
      <c r="K953" s="21">
        <v>576040.31</v>
      </c>
      <c r="L953" s="21"/>
      <c r="M953" s="20">
        <v>576040.31</v>
      </c>
      <c r="N953" s="20">
        <v>394154.09</v>
      </c>
      <c r="O953" s="20">
        <v>83329.75</v>
      </c>
      <c r="P953" s="22">
        <v>12.637781885334617</v>
      </c>
      <c r="Q953" s="22">
        <v>87.36221811466538</v>
      </c>
    </row>
    <row r="954" spans="1:17" ht="12.75" customHeight="1">
      <c r="A954" s="23"/>
      <c r="B954" s="24"/>
      <c r="C954" s="24"/>
      <c r="D954" s="24"/>
      <c r="E954" s="23"/>
      <c r="F954" s="20">
        <v>46870.06</v>
      </c>
      <c r="G954" s="20">
        <v>0</v>
      </c>
      <c r="H954" s="20">
        <v>0</v>
      </c>
      <c r="I954" s="21">
        <v>0</v>
      </c>
      <c r="J954" s="21"/>
      <c r="K954" s="21">
        <v>0</v>
      </c>
      <c r="L954" s="21"/>
      <c r="M954" s="20">
        <v>181886.22</v>
      </c>
      <c r="N954" s="20">
        <v>2350</v>
      </c>
      <c r="O954" s="20">
        <v>83329.75</v>
      </c>
      <c r="P954" s="22">
        <v>87.36221811466538</v>
      </c>
      <c r="Q954" s="22">
        <v>68.42474096995052</v>
      </c>
    </row>
    <row r="955" spans="1:17" ht="18" customHeight="1">
      <c r="A955" s="23"/>
      <c r="B955" s="24"/>
      <c r="C955" s="24"/>
      <c r="D955" s="24"/>
      <c r="E955" s="23"/>
      <c r="F955" s="23"/>
      <c r="G955" s="23"/>
      <c r="H955" s="23"/>
      <c r="I955" s="24"/>
      <c r="J955" s="24"/>
      <c r="K955" s="24"/>
      <c r="L955" s="24"/>
      <c r="M955" s="23"/>
      <c r="N955" s="23"/>
      <c r="O955" s="23"/>
      <c r="P955" s="23"/>
      <c r="Q955" s="23"/>
    </row>
    <row r="956" spans="1:17" ht="12.75" customHeight="1">
      <c r="A956" s="10"/>
      <c r="B956" s="11" t="s">
        <v>642</v>
      </c>
      <c r="C956" s="11"/>
      <c r="D956" s="11"/>
      <c r="E956" s="12">
        <f>ROUND(151977.22,2)</f>
        <v>151977.22</v>
      </c>
      <c r="F956" s="12">
        <f>ROUND(1367.79,2)</f>
        <v>1367.79</v>
      </c>
      <c r="G956" s="12">
        <f>ROUND(153345.01,2)</f>
        <v>153345.01</v>
      </c>
      <c r="H956" s="12">
        <f>ROUND(151980.59,2)</f>
        <v>151980.59</v>
      </c>
      <c r="I956" s="13">
        <f>ROUND(151980.59,2)</f>
        <v>151980.59</v>
      </c>
      <c r="J956" s="13"/>
      <c r="K956" s="13">
        <f>ROUND(151980.59,2)</f>
        <v>151980.59</v>
      </c>
      <c r="L956" s="13"/>
      <c r="M956" s="12">
        <f>ROUND(151980.59,2)</f>
        <v>151980.59</v>
      </c>
      <c r="N956" s="12">
        <f>ROUND(151980.59,2)</f>
        <v>151980.59</v>
      </c>
      <c r="O956" s="12">
        <f>ROUND(1364.42,2)</f>
        <v>1364.42</v>
      </c>
      <c r="P956" s="14">
        <v>0.889771372410488</v>
      </c>
      <c r="Q956" s="14">
        <v>99.1102286275895</v>
      </c>
    </row>
    <row r="957" spans="1:17" ht="12.75" customHeight="1">
      <c r="A957" s="15" t="s">
        <v>643</v>
      </c>
      <c r="B957" s="15"/>
      <c r="C957" s="15"/>
      <c r="D957" s="15"/>
      <c r="E957" s="16" t="s">
        <v>572</v>
      </c>
      <c r="F957" s="17">
        <f>ROUND(0,2)</f>
        <v>0</v>
      </c>
      <c r="G957" s="17">
        <f>ROUND(0,2)</f>
        <v>0</v>
      </c>
      <c r="H957" s="17">
        <f>ROUND(0,2)</f>
        <v>0</v>
      </c>
      <c r="I957" s="17">
        <f>ROUND(0,2)</f>
        <v>0</v>
      </c>
      <c r="J957" s="17"/>
      <c r="K957" s="17">
        <f>ROUND(0,2)</f>
        <v>0</v>
      </c>
      <c r="L957" s="17"/>
      <c r="M957" s="17">
        <f>ROUND(0,2)</f>
        <v>0</v>
      </c>
      <c r="N957" s="17">
        <f>ROUND(0,2)</f>
        <v>0</v>
      </c>
      <c r="O957" s="17">
        <f>ROUND(1364.42000000001,2)</f>
        <v>1364.42</v>
      </c>
      <c r="P957" s="18">
        <v>99.1102286275895</v>
      </c>
      <c r="Q957" s="18">
        <v>100</v>
      </c>
    </row>
    <row r="958" spans="1:17" ht="12.75" customHeight="1">
      <c r="A958" s="19" t="s">
        <v>60</v>
      </c>
      <c r="B958" s="19"/>
      <c r="C958" s="19"/>
      <c r="D958" s="19"/>
      <c r="E958" s="20">
        <f>SUM('DS1'!$A$252)</f>
        <v>151977.22</v>
      </c>
      <c r="F958" s="20">
        <v>1367.79</v>
      </c>
      <c r="G958" s="20">
        <v>153345.01</v>
      </c>
      <c r="H958" s="20">
        <v>151980.59</v>
      </c>
      <c r="I958" s="21">
        <v>151980.59</v>
      </c>
      <c r="J958" s="21"/>
      <c r="K958" s="21">
        <v>151980.59</v>
      </c>
      <c r="L958" s="21"/>
      <c r="M958" s="20">
        <v>151980.59</v>
      </c>
      <c r="N958" s="20">
        <v>151980.59</v>
      </c>
      <c r="O958" s="20">
        <v>1364.42</v>
      </c>
      <c r="P958" s="22">
        <v>0.889771372410488</v>
      </c>
      <c r="Q958" s="22">
        <v>99.1102286275895</v>
      </c>
    </row>
    <row r="959" spans="1:17" ht="12.75" customHeight="1">
      <c r="A959" s="23"/>
      <c r="B959" s="24"/>
      <c r="C959" s="24"/>
      <c r="D959" s="24"/>
      <c r="E959" s="23"/>
      <c r="F959" s="20">
        <v>0</v>
      </c>
      <c r="G959" s="20">
        <v>0</v>
      </c>
      <c r="H959" s="20">
        <v>0</v>
      </c>
      <c r="I959" s="21">
        <v>0</v>
      </c>
      <c r="J959" s="21"/>
      <c r="K959" s="21">
        <v>0</v>
      </c>
      <c r="L959" s="21"/>
      <c r="M959" s="20">
        <v>0</v>
      </c>
      <c r="N959" s="20">
        <v>0</v>
      </c>
      <c r="O959" s="20">
        <v>1364.4200000000128</v>
      </c>
      <c r="P959" s="22">
        <v>99.1102286275895</v>
      </c>
      <c r="Q959" s="22">
        <v>100</v>
      </c>
    </row>
    <row r="960" spans="1:17" ht="20.25" customHeight="1">
      <c r="A960" s="23"/>
      <c r="B960" s="24"/>
      <c r="C960" s="24"/>
      <c r="D960" s="24"/>
      <c r="E960" s="23"/>
      <c r="F960" s="23"/>
      <c r="G960" s="23"/>
      <c r="H960" s="23"/>
      <c r="I960" s="24"/>
      <c r="J960" s="24"/>
      <c r="K960" s="24"/>
      <c r="L960" s="24"/>
      <c r="M960" s="23"/>
      <c r="N960" s="23"/>
      <c r="O960" s="23"/>
      <c r="P960" s="23"/>
      <c r="Q960" s="23"/>
    </row>
    <row r="961" spans="1:17" ht="12.75" customHeight="1">
      <c r="A961" s="10"/>
      <c r="B961" s="11" t="s">
        <v>644</v>
      </c>
      <c r="C961" s="11"/>
      <c r="D961" s="11"/>
      <c r="E961" s="12">
        <f>ROUND(50152.49,2)</f>
        <v>50152.49</v>
      </c>
      <c r="F961" s="12">
        <f>ROUND(451.37,2)</f>
        <v>451.37</v>
      </c>
      <c r="G961" s="12">
        <f>ROUND(50603.86,2)</f>
        <v>50603.86</v>
      </c>
      <c r="H961" s="12">
        <f>ROUND(38722.47,2)</f>
        <v>38722.47</v>
      </c>
      <c r="I961" s="13">
        <f>ROUND(38722.47,2)</f>
        <v>38722.47</v>
      </c>
      <c r="J961" s="13"/>
      <c r="K961" s="13">
        <f>ROUND(38722.47,2)</f>
        <v>38722.47</v>
      </c>
      <c r="L961" s="13"/>
      <c r="M961" s="12">
        <f>ROUND(38722.47,2)</f>
        <v>38722.47</v>
      </c>
      <c r="N961" s="12">
        <f>ROUND(38722.47,2)</f>
        <v>38722.47</v>
      </c>
      <c r="O961" s="12">
        <f aca="true" t="shared" si="542" ref="O961:O962">ROUND(11881.39,2)</f>
        <v>11881.39</v>
      </c>
      <c r="P961" s="14">
        <v>23.479216802828873</v>
      </c>
      <c r="Q961" s="14">
        <v>76.52078319717113</v>
      </c>
    </row>
    <row r="962" spans="1:17" ht="12.75" customHeight="1">
      <c r="A962" s="15" t="s">
        <v>645</v>
      </c>
      <c r="B962" s="15"/>
      <c r="C962" s="15"/>
      <c r="D962" s="15"/>
      <c r="E962" s="16" t="s">
        <v>572</v>
      </c>
      <c r="F962" s="17">
        <f>ROUND(0,2)</f>
        <v>0</v>
      </c>
      <c r="G962" s="17">
        <f>ROUND(0,2)</f>
        <v>0</v>
      </c>
      <c r="H962" s="17">
        <f>ROUND(0,2)</f>
        <v>0</v>
      </c>
      <c r="I962" s="17">
        <f>ROUND(0,2)</f>
        <v>0</v>
      </c>
      <c r="J962" s="17"/>
      <c r="K962" s="17">
        <f>ROUND(0,2)</f>
        <v>0</v>
      </c>
      <c r="L962" s="17"/>
      <c r="M962" s="17">
        <f>ROUND(0,2)</f>
        <v>0</v>
      </c>
      <c r="N962" s="17">
        <f>ROUND(0,2)</f>
        <v>0</v>
      </c>
      <c r="O962" s="17">
        <f t="shared" si="542"/>
        <v>11881.39</v>
      </c>
      <c r="P962" s="18">
        <v>76.52078319717113</v>
      </c>
      <c r="Q962" s="18">
        <v>100</v>
      </c>
    </row>
    <row r="963" spans="1:17" ht="12.75" customHeight="1">
      <c r="A963" s="19" t="s">
        <v>68</v>
      </c>
      <c r="B963" s="19"/>
      <c r="C963" s="19"/>
      <c r="D963" s="19"/>
      <c r="E963" s="20">
        <f>SUM('DS1'!$A$253)</f>
        <v>50152.49</v>
      </c>
      <c r="F963" s="20">
        <v>451.37</v>
      </c>
      <c r="G963" s="20">
        <v>50603.86</v>
      </c>
      <c r="H963" s="20">
        <v>38722.47</v>
      </c>
      <c r="I963" s="21">
        <v>38722.47</v>
      </c>
      <c r="J963" s="21"/>
      <c r="K963" s="21">
        <v>38722.47</v>
      </c>
      <c r="L963" s="21"/>
      <c r="M963" s="20">
        <v>38722.47</v>
      </c>
      <c r="N963" s="20">
        <v>38722.47</v>
      </c>
      <c r="O963" s="20">
        <v>11881.39</v>
      </c>
      <c r="P963" s="22">
        <v>23.479216802828873</v>
      </c>
      <c r="Q963" s="22">
        <v>76.52078319717113</v>
      </c>
    </row>
    <row r="964" spans="1:17" ht="12.75" customHeight="1">
      <c r="A964" s="23"/>
      <c r="B964" s="24"/>
      <c r="C964" s="24"/>
      <c r="D964" s="24"/>
      <c r="E964" s="23"/>
      <c r="F964" s="20">
        <v>0</v>
      </c>
      <c r="G964" s="20">
        <v>0</v>
      </c>
      <c r="H964" s="20">
        <v>0</v>
      </c>
      <c r="I964" s="21">
        <v>0</v>
      </c>
      <c r="J964" s="21"/>
      <c r="K964" s="21">
        <v>0</v>
      </c>
      <c r="L964" s="21"/>
      <c r="M964" s="20">
        <v>0</v>
      </c>
      <c r="N964" s="20">
        <v>0</v>
      </c>
      <c r="O964" s="20">
        <v>11881.39</v>
      </c>
      <c r="P964" s="22">
        <v>76.52078319717113</v>
      </c>
      <c r="Q964" s="22">
        <v>100</v>
      </c>
    </row>
    <row r="965" spans="1:17" ht="20.25" customHeight="1">
      <c r="A965" s="23"/>
      <c r="B965" s="24"/>
      <c r="C965" s="24"/>
      <c r="D965" s="24"/>
      <c r="E965" s="23"/>
      <c r="F965" s="23"/>
      <c r="G965" s="23"/>
      <c r="H965" s="23"/>
      <c r="I965" s="24"/>
      <c r="J965" s="24"/>
      <c r="K965" s="24"/>
      <c r="L965" s="24"/>
      <c r="M965" s="23"/>
      <c r="N965" s="23"/>
      <c r="O965" s="23"/>
      <c r="P965" s="23"/>
      <c r="Q965" s="23"/>
    </row>
    <row r="966" spans="1:17" ht="12.75" customHeight="1">
      <c r="A966" s="10"/>
      <c r="B966" s="11" t="s">
        <v>646</v>
      </c>
      <c r="C966" s="11"/>
      <c r="D966" s="11"/>
      <c r="E966" s="12">
        <f>ROUND(18300,2)</f>
        <v>18300</v>
      </c>
      <c r="F966" s="12">
        <f aca="true" t="shared" si="543" ref="F966:F967">ROUND(0,2)</f>
        <v>0</v>
      </c>
      <c r="G966" s="12">
        <f>ROUND(18300,2)</f>
        <v>18300</v>
      </c>
      <c r="H966" s="12">
        <f aca="true" t="shared" si="544" ref="H966:H967">ROUND(0,2)</f>
        <v>0</v>
      </c>
      <c r="I966" s="13">
        <f aca="true" t="shared" si="545" ref="I966:I967">ROUND(0,2)</f>
        <v>0</v>
      </c>
      <c r="J966" s="13"/>
      <c r="K966" s="13">
        <f aca="true" t="shared" si="546" ref="K966:K967">ROUND(0,2)</f>
        <v>0</v>
      </c>
      <c r="L966" s="13"/>
      <c r="M966" s="12">
        <f aca="true" t="shared" si="547" ref="M966:M967">ROUND(0,2)</f>
        <v>0</v>
      </c>
      <c r="N966" s="12">
        <f aca="true" t="shared" si="548" ref="N966:N967">ROUND(0,2)</f>
        <v>0</v>
      </c>
      <c r="O966" s="12">
        <f aca="true" t="shared" si="549" ref="O966:O967">ROUND(18300,2)</f>
        <v>18300</v>
      </c>
      <c r="P966" s="14">
        <v>100</v>
      </c>
      <c r="Q966" s="14">
        <v>0</v>
      </c>
    </row>
    <row r="967" spans="1:17" ht="12.75" customHeight="1">
      <c r="A967" s="15" t="s">
        <v>647</v>
      </c>
      <c r="B967" s="15"/>
      <c r="C967" s="15"/>
      <c r="D967" s="15"/>
      <c r="E967" s="16" t="s">
        <v>583</v>
      </c>
      <c r="F967" s="17">
        <f t="shared" si="543"/>
        <v>0</v>
      </c>
      <c r="G967" s="17">
        <f>ROUND(0,2)</f>
        <v>0</v>
      </c>
      <c r="H967" s="17">
        <f t="shared" si="544"/>
        <v>0</v>
      </c>
      <c r="I967" s="17">
        <f t="shared" si="545"/>
        <v>0</v>
      </c>
      <c r="J967" s="17"/>
      <c r="K967" s="17">
        <f t="shared" si="546"/>
        <v>0</v>
      </c>
      <c r="L967" s="17"/>
      <c r="M967" s="17">
        <f t="shared" si="547"/>
        <v>0</v>
      </c>
      <c r="N967" s="17">
        <f t="shared" si="548"/>
        <v>0</v>
      </c>
      <c r="O967" s="17">
        <f t="shared" si="549"/>
        <v>18300</v>
      </c>
      <c r="P967" s="18">
        <v>0</v>
      </c>
      <c r="Q967" s="18">
        <v>0</v>
      </c>
    </row>
    <row r="968" spans="1:17" ht="12.75" customHeight="1">
      <c r="A968" s="19" t="s">
        <v>271</v>
      </c>
      <c r="B968" s="19"/>
      <c r="C968" s="19"/>
      <c r="D968" s="19"/>
      <c r="E968" s="20">
        <f>SUM('DS1'!$A$254)</f>
        <v>18300</v>
      </c>
      <c r="F968" s="20">
        <v>0</v>
      </c>
      <c r="G968" s="20">
        <v>18300</v>
      </c>
      <c r="H968" s="20">
        <v>0</v>
      </c>
      <c r="I968" s="21">
        <v>0</v>
      </c>
      <c r="J968" s="21"/>
      <c r="K968" s="21">
        <v>0</v>
      </c>
      <c r="L968" s="21"/>
      <c r="M968" s="20">
        <v>0</v>
      </c>
      <c r="N968" s="20">
        <v>0</v>
      </c>
      <c r="O968" s="20">
        <v>18300</v>
      </c>
      <c r="P968" s="22">
        <v>100</v>
      </c>
      <c r="Q968" s="22">
        <v>0</v>
      </c>
    </row>
    <row r="969" spans="1:17" ht="12.75" customHeight="1">
      <c r="A969" s="23"/>
      <c r="B969" s="24"/>
      <c r="C969" s="24"/>
      <c r="D969" s="24"/>
      <c r="E969" s="23"/>
      <c r="F969" s="20">
        <v>0</v>
      </c>
      <c r="G969" s="20">
        <v>0</v>
      </c>
      <c r="H969" s="20">
        <v>0</v>
      </c>
      <c r="I969" s="21">
        <v>0</v>
      </c>
      <c r="J969" s="21"/>
      <c r="K969" s="21">
        <v>0</v>
      </c>
      <c r="L969" s="21"/>
      <c r="M969" s="20">
        <v>0</v>
      </c>
      <c r="N969" s="20">
        <v>0</v>
      </c>
      <c r="O969" s="20">
        <v>18300</v>
      </c>
      <c r="P969" s="22">
        <v>0</v>
      </c>
      <c r="Q969" s="22">
        <v>0</v>
      </c>
    </row>
    <row r="970" spans="1:17" ht="20.25" customHeight="1">
      <c r="A970" s="23"/>
      <c r="B970" s="24"/>
      <c r="C970" s="24"/>
      <c r="D970" s="24"/>
      <c r="E970" s="23"/>
      <c r="F970" s="23"/>
      <c r="G970" s="23"/>
      <c r="H970" s="23"/>
      <c r="I970" s="24"/>
      <c r="J970" s="24"/>
      <c r="K970" s="24"/>
      <c r="L970" s="24"/>
      <c r="M970" s="23"/>
      <c r="N970" s="23"/>
      <c r="O970" s="23"/>
      <c r="P970" s="23"/>
      <c r="Q970" s="23"/>
    </row>
    <row r="971" spans="1:17" ht="12.75" customHeight="1">
      <c r="A971" s="10"/>
      <c r="B971" s="11" t="s">
        <v>648</v>
      </c>
      <c r="C971" s="11"/>
      <c r="D971" s="11"/>
      <c r="E971" s="12">
        <f>ROUND(20000,2)</f>
        <v>20000</v>
      </c>
      <c r="F971" s="12">
        <f aca="true" t="shared" si="550" ref="F971:F974">ROUND(0,2)</f>
        <v>0</v>
      </c>
      <c r="G971" s="12">
        <f>ROUND(20000,2)</f>
        <v>20000</v>
      </c>
      <c r="H971" s="12">
        <f>ROUND(5287.04,2)</f>
        <v>5287.04</v>
      </c>
      <c r="I971" s="13">
        <f>ROUND(5287.04,2)</f>
        <v>5287.04</v>
      </c>
      <c r="J971" s="13"/>
      <c r="K971" s="13">
        <f>ROUND(5287.04,2)</f>
        <v>5287.04</v>
      </c>
      <c r="L971" s="13"/>
      <c r="M971" s="12">
        <f>ROUND(5287.04,2)</f>
        <v>5287.04</v>
      </c>
      <c r="N971" s="12">
        <f>ROUND(4377.54,2)</f>
        <v>4377.54</v>
      </c>
      <c r="O971" s="12">
        <f aca="true" t="shared" si="551" ref="O971:O972">ROUND(14712.96,2)</f>
        <v>14712.96</v>
      </c>
      <c r="P971" s="14">
        <v>73.56479999999999</v>
      </c>
      <c r="Q971" s="14">
        <v>26.4352</v>
      </c>
    </row>
    <row r="972" spans="1:17" ht="12.75" customHeight="1">
      <c r="A972" s="15" t="s">
        <v>649</v>
      </c>
      <c r="B972" s="15"/>
      <c r="C972" s="15"/>
      <c r="D972" s="15"/>
      <c r="E972" s="16" t="s">
        <v>593</v>
      </c>
      <c r="F972" s="17">
        <f t="shared" si="550"/>
        <v>0</v>
      </c>
      <c r="G972" s="17">
        <f>ROUND(0,2)</f>
        <v>0</v>
      </c>
      <c r="H972" s="17">
        <f>ROUND(0,2)</f>
        <v>0</v>
      </c>
      <c r="I972" s="17">
        <f>ROUND(0,2)</f>
        <v>0</v>
      </c>
      <c r="J972" s="17"/>
      <c r="K972" s="17">
        <f>ROUND(0,2)</f>
        <v>0</v>
      </c>
      <c r="L972" s="17"/>
      <c r="M972" s="17">
        <f>ROUND(909.5,2)</f>
        <v>909.5</v>
      </c>
      <c r="N972" s="17">
        <f>ROUND(0,2)</f>
        <v>0</v>
      </c>
      <c r="O972" s="17">
        <f t="shared" si="551"/>
        <v>14712.96</v>
      </c>
      <c r="P972" s="18">
        <v>26.4352</v>
      </c>
      <c r="Q972" s="18">
        <v>82.79755780171892</v>
      </c>
    </row>
    <row r="973" spans="1:17" ht="12.75" customHeight="1">
      <c r="A973" s="10"/>
      <c r="B973" s="11" t="s">
        <v>650</v>
      </c>
      <c r="C973" s="11"/>
      <c r="D973" s="11"/>
      <c r="E973" s="12">
        <f>ROUND(8000,2)</f>
        <v>8000</v>
      </c>
      <c r="F973" s="12">
        <f t="shared" si="550"/>
        <v>0</v>
      </c>
      <c r="G973" s="12">
        <f>ROUND(8000,2)</f>
        <v>8000</v>
      </c>
      <c r="H973" s="12">
        <f>ROUND(9438.52,2)</f>
        <v>9438.52</v>
      </c>
      <c r="I973" s="13">
        <f>ROUND(9438.52,2)</f>
        <v>9438.52</v>
      </c>
      <c r="J973" s="13"/>
      <c r="K973" s="13">
        <f>ROUND(9438.52,2)</f>
        <v>9438.52</v>
      </c>
      <c r="L973" s="13"/>
      <c r="M973" s="12">
        <f>ROUND(9438.52,2)</f>
        <v>9438.52</v>
      </c>
      <c r="N973" s="12">
        <f>ROUND(8924.92,2)</f>
        <v>8924.92</v>
      </c>
      <c r="O973" s="12">
        <f>ROUND(-1438.52,2)</f>
        <v>-1438.52</v>
      </c>
      <c r="P973" s="14">
        <v>-17.9815</v>
      </c>
      <c r="Q973" s="14">
        <v>117.98150000000001</v>
      </c>
    </row>
    <row r="974" spans="1:17" ht="12.75" customHeight="1">
      <c r="A974" s="15" t="s">
        <v>651</v>
      </c>
      <c r="B974" s="15"/>
      <c r="C974" s="15"/>
      <c r="D974" s="15"/>
      <c r="E974" s="16" t="s">
        <v>593</v>
      </c>
      <c r="F974" s="17">
        <f t="shared" si="550"/>
        <v>0</v>
      </c>
      <c r="G974" s="17">
        <f>ROUND(0,2)</f>
        <v>0</v>
      </c>
      <c r="H974" s="17">
        <f>ROUND(0,2)</f>
        <v>0</v>
      </c>
      <c r="I974" s="17">
        <f>ROUND(0,2)</f>
        <v>0</v>
      </c>
      <c r="J974" s="17"/>
      <c r="K974" s="17">
        <f>ROUND(0,2)</f>
        <v>0</v>
      </c>
      <c r="L974" s="17"/>
      <c r="M974" s="17">
        <f>ROUND(513.6,2)</f>
        <v>513.6</v>
      </c>
      <c r="N974" s="17">
        <f>ROUND(0,2)</f>
        <v>0</v>
      </c>
      <c r="O974" s="17">
        <f>ROUND(-1438.52,2)</f>
        <v>-1438.52</v>
      </c>
      <c r="P974" s="18">
        <v>117.98150000000001</v>
      </c>
      <c r="Q974" s="18">
        <v>94.558468912499</v>
      </c>
    </row>
    <row r="975" spans="1:17" ht="12.75" customHeight="1">
      <c r="A975" s="19" t="s">
        <v>76</v>
      </c>
      <c r="B975" s="19"/>
      <c r="C975" s="19"/>
      <c r="D975" s="19"/>
      <c r="E975" s="20">
        <f>SUM('DS1'!$A$255:$A$256)</f>
        <v>28000</v>
      </c>
      <c r="F975" s="20">
        <v>0</v>
      </c>
      <c r="G975" s="20">
        <v>28000</v>
      </c>
      <c r="H975" s="20">
        <v>14725.56</v>
      </c>
      <c r="I975" s="21">
        <v>14725.56</v>
      </c>
      <c r="J975" s="21"/>
      <c r="K975" s="21">
        <v>14725.56</v>
      </c>
      <c r="L975" s="21"/>
      <c r="M975" s="20">
        <v>14725.56</v>
      </c>
      <c r="N975" s="20">
        <v>13302.46</v>
      </c>
      <c r="O975" s="20">
        <v>13274.44</v>
      </c>
      <c r="P975" s="22">
        <v>47.40871428571429</v>
      </c>
      <c r="Q975" s="22">
        <v>52.5912857142857</v>
      </c>
    </row>
    <row r="976" spans="1:17" ht="12.75" customHeight="1">
      <c r="A976" s="23"/>
      <c r="B976" s="24"/>
      <c r="C976" s="24"/>
      <c r="D976" s="24"/>
      <c r="E976" s="23"/>
      <c r="F976" s="20">
        <v>0</v>
      </c>
      <c r="G976" s="20">
        <v>0</v>
      </c>
      <c r="H976" s="20">
        <v>0</v>
      </c>
      <c r="I976" s="21">
        <v>0</v>
      </c>
      <c r="J976" s="21"/>
      <c r="K976" s="21">
        <v>0</v>
      </c>
      <c r="L976" s="21"/>
      <c r="M976" s="20">
        <v>1423.1000000000004</v>
      </c>
      <c r="N976" s="20">
        <v>0</v>
      </c>
      <c r="O976" s="20">
        <v>13274.439999999999</v>
      </c>
      <c r="P976" s="22">
        <v>52.5912857142857</v>
      </c>
      <c r="Q976" s="22">
        <v>90.3358514039534</v>
      </c>
    </row>
    <row r="977" spans="1:17" ht="20.25" customHeight="1">
      <c r="A977" s="23"/>
      <c r="B977" s="24"/>
      <c r="C977" s="24"/>
      <c r="D977" s="24"/>
      <c r="E977" s="23"/>
      <c r="F977" s="23"/>
      <c r="G977" s="23"/>
      <c r="H977" s="23"/>
      <c r="I977" s="24"/>
      <c r="J977" s="24"/>
      <c r="K977" s="24"/>
      <c r="L977" s="24"/>
      <c r="M977" s="23"/>
      <c r="N977" s="23"/>
      <c r="O977" s="23"/>
      <c r="P977" s="23"/>
      <c r="Q977" s="23"/>
    </row>
    <row r="978" spans="1:17" ht="12.75" customHeight="1">
      <c r="A978" s="10"/>
      <c r="B978" s="11" t="s">
        <v>652</v>
      </c>
      <c r="C978" s="11"/>
      <c r="D978" s="11"/>
      <c r="E978" s="12">
        <f>ROUND(5000,2)</f>
        <v>5000</v>
      </c>
      <c r="F978" s="12">
        <f aca="true" t="shared" si="552" ref="F978:F979">ROUND(0,2)</f>
        <v>0</v>
      </c>
      <c r="G978" s="12">
        <f>ROUND(5000,2)</f>
        <v>5000</v>
      </c>
      <c r="H978" s="12">
        <f>ROUND(3324.02,2)</f>
        <v>3324.02</v>
      </c>
      <c r="I978" s="13">
        <f>ROUND(3324.02,2)</f>
        <v>3324.02</v>
      </c>
      <c r="J978" s="13"/>
      <c r="K978" s="13">
        <f>ROUND(3324.02,2)</f>
        <v>3324.02</v>
      </c>
      <c r="L978" s="13"/>
      <c r="M978" s="12">
        <f>ROUND(3324.02,2)</f>
        <v>3324.02</v>
      </c>
      <c r="N978" s="12">
        <f>ROUND(3324.02,2)</f>
        <v>3324.02</v>
      </c>
      <c r="O978" s="12">
        <f aca="true" t="shared" si="553" ref="O978:O979">ROUND(1675.98,2)</f>
        <v>1675.98</v>
      </c>
      <c r="P978" s="14">
        <v>33.5196</v>
      </c>
      <c r="Q978" s="14">
        <v>66.48039999999999</v>
      </c>
    </row>
    <row r="979" spans="1:17" ht="12.75" customHeight="1">
      <c r="A979" s="15" t="s">
        <v>653</v>
      </c>
      <c r="B979" s="15"/>
      <c r="C979" s="15"/>
      <c r="D979" s="15"/>
      <c r="E979" s="16" t="s">
        <v>593</v>
      </c>
      <c r="F979" s="17">
        <f t="shared" si="552"/>
        <v>0</v>
      </c>
      <c r="G979" s="17">
        <f>ROUND(0,2)</f>
        <v>0</v>
      </c>
      <c r="H979" s="17">
        <f>ROUND(0,2)</f>
        <v>0</v>
      </c>
      <c r="I979" s="17">
        <f>ROUND(0,2)</f>
        <v>0</v>
      </c>
      <c r="J979" s="17"/>
      <c r="K979" s="17">
        <f>ROUND(0,2)</f>
        <v>0</v>
      </c>
      <c r="L979" s="17"/>
      <c r="M979" s="17">
        <f>ROUND(0,2)</f>
        <v>0</v>
      </c>
      <c r="N979" s="17">
        <f>ROUND(0,2)</f>
        <v>0</v>
      </c>
      <c r="O979" s="17">
        <f t="shared" si="553"/>
        <v>1675.98</v>
      </c>
      <c r="P979" s="18">
        <v>66.48039999999999</v>
      </c>
      <c r="Q979" s="18">
        <v>100</v>
      </c>
    </row>
    <row r="980" spans="1:17" ht="12.75" customHeight="1">
      <c r="A980" s="19" t="s">
        <v>79</v>
      </c>
      <c r="B980" s="19"/>
      <c r="C980" s="19"/>
      <c r="D980" s="19"/>
      <c r="E980" s="20">
        <f>SUM('DS1'!$A$257)</f>
        <v>5000</v>
      </c>
      <c r="F980" s="20">
        <v>0</v>
      </c>
      <c r="G980" s="20">
        <v>5000</v>
      </c>
      <c r="H980" s="20">
        <v>3324.02</v>
      </c>
      <c r="I980" s="21">
        <v>3324.02</v>
      </c>
      <c r="J980" s="21"/>
      <c r="K980" s="21">
        <v>3324.02</v>
      </c>
      <c r="L980" s="21"/>
      <c r="M980" s="20">
        <v>3324.02</v>
      </c>
      <c r="N980" s="20">
        <v>3324.02</v>
      </c>
      <c r="O980" s="20">
        <v>1675.98</v>
      </c>
      <c r="P980" s="22">
        <v>33.5196</v>
      </c>
      <c r="Q980" s="22">
        <v>66.48039999999999</v>
      </c>
    </row>
    <row r="981" spans="1:17" ht="12.75" customHeight="1">
      <c r="A981" s="23"/>
      <c r="B981" s="24"/>
      <c r="C981" s="24"/>
      <c r="D981" s="24"/>
      <c r="E981" s="23"/>
      <c r="F981" s="20">
        <v>0</v>
      </c>
      <c r="G981" s="20">
        <v>0</v>
      </c>
      <c r="H981" s="20">
        <v>0</v>
      </c>
      <c r="I981" s="21">
        <v>0</v>
      </c>
      <c r="J981" s="21"/>
      <c r="K981" s="21">
        <v>0</v>
      </c>
      <c r="L981" s="21"/>
      <c r="M981" s="20">
        <v>0</v>
      </c>
      <c r="N981" s="20">
        <v>0</v>
      </c>
      <c r="O981" s="20">
        <v>1675.98</v>
      </c>
      <c r="P981" s="22">
        <v>66.48039999999999</v>
      </c>
      <c r="Q981" s="22">
        <v>100</v>
      </c>
    </row>
    <row r="982" spans="1:17" ht="20.25" customHeight="1">
      <c r="A982" s="23"/>
      <c r="B982" s="24"/>
      <c r="C982" s="24"/>
      <c r="D982" s="24"/>
      <c r="E982" s="23"/>
      <c r="F982" s="23"/>
      <c r="G982" s="23"/>
      <c r="H982" s="23"/>
      <c r="I982" s="24"/>
      <c r="J982" s="24"/>
      <c r="K982" s="24"/>
      <c r="L982" s="24"/>
      <c r="M982" s="23"/>
      <c r="N982" s="23"/>
      <c r="O982" s="23"/>
      <c r="P982" s="23"/>
      <c r="Q982" s="23"/>
    </row>
    <row r="983" spans="1:17" ht="12.75" customHeight="1">
      <c r="A983" s="10"/>
      <c r="B983" s="11" t="s">
        <v>654</v>
      </c>
      <c r="C983" s="11"/>
      <c r="D983" s="11"/>
      <c r="E983" s="12">
        <f>ROUND(7000,2)</f>
        <v>7000</v>
      </c>
      <c r="F983" s="12">
        <f aca="true" t="shared" si="554" ref="F983:F986">ROUND(0,2)</f>
        <v>0</v>
      </c>
      <c r="G983" s="12">
        <f>ROUND(7000,2)</f>
        <v>7000</v>
      </c>
      <c r="H983" s="12">
        <f>ROUND(4490.59,2)</f>
        <v>4490.59</v>
      </c>
      <c r="I983" s="13">
        <f>ROUND(4490.59,2)</f>
        <v>4490.59</v>
      </c>
      <c r="J983" s="13"/>
      <c r="K983" s="13">
        <f>ROUND(4490.59,2)</f>
        <v>4490.59</v>
      </c>
      <c r="L983" s="13"/>
      <c r="M983" s="12">
        <f>ROUND(4490.59,2)</f>
        <v>4490.59</v>
      </c>
      <c r="N983" s="12">
        <f>ROUND(2586.35,2)</f>
        <v>2586.35</v>
      </c>
      <c r="O983" s="12">
        <f aca="true" t="shared" si="555" ref="O983:O984">ROUND(2509.41,2)</f>
        <v>2509.41</v>
      </c>
      <c r="P983" s="14">
        <v>35.84871428571429</v>
      </c>
      <c r="Q983" s="14">
        <v>64.15128571428572</v>
      </c>
    </row>
    <row r="984" spans="1:17" ht="12.75" customHeight="1">
      <c r="A984" s="15" t="s">
        <v>655</v>
      </c>
      <c r="B984" s="15"/>
      <c r="C984" s="15"/>
      <c r="D984" s="15"/>
      <c r="E984" s="16" t="s">
        <v>601</v>
      </c>
      <c r="F984" s="17">
        <f t="shared" si="554"/>
        <v>0</v>
      </c>
      <c r="G984" s="17">
        <f>ROUND(0,2)</f>
        <v>0</v>
      </c>
      <c r="H984" s="17">
        <f>ROUND(0,2)</f>
        <v>0</v>
      </c>
      <c r="I984" s="17">
        <f>ROUND(0,2)</f>
        <v>0</v>
      </c>
      <c r="J984" s="17"/>
      <c r="K984" s="17">
        <f>ROUND(0,2)</f>
        <v>0</v>
      </c>
      <c r="L984" s="17"/>
      <c r="M984" s="17">
        <f>ROUND(1904.24,2)</f>
        <v>1904.24</v>
      </c>
      <c r="N984" s="17">
        <f>ROUND(0,2)</f>
        <v>0</v>
      </c>
      <c r="O984" s="17">
        <f t="shared" si="555"/>
        <v>2509.41</v>
      </c>
      <c r="P984" s="18">
        <v>64.15128571428572</v>
      </c>
      <c r="Q984" s="18">
        <v>57.594881741597426</v>
      </c>
    </row>
    <row r="985" spans="1:17" ht="12.75" customHeight="1">
      <c r="A985" s="10"/>
      <c r="B985" s="11" t="s">
        <v>656</v>
      </c>
      <c r="C985" s="11"/>
      <c r="D985" s="11"/>
      <c r="E985" s="12">
        <f>ROUND(6000,2)</f>
        <v>6000</v>
      </c>
      <c r="F985" s="12">
        <f t="shared" si="554"/>
        <v>0</v>
      </c>
      <c r="G985" s="12">
        <f>ROUND(6000,2)</f>
        <v>6000</v>
      </c>
      <c r="H985" s="12">
        <f>ROUND(4739.07,2)</f>
        <v>4739.07</v>
      </c>
      <c r="I985" s="13">
        <f>ROUND(4739.07,2)</f>
        <v>4739.07</v>
      </c>
      <c r="J985" s="13"/>
      <c r="K985" s="13">
        <f>ROUND(4739.07,2)</f>
        <v>4739.07</v>
      </c>
      <c r="L985" s="13"/>
      <c r="M985" s="12">
        <f>ROUND(4739.07,2)</f>
        <v>4739.07</v>
      </c>
      <c r="N985" s="12">
        <f>ROUND(4281.87,2)</f>
        <v>4281.87</v>
      </c>
      <c r="O985" s="12">
        <f>ROUND(1260.93,2)</f>
        <v>1260.93</v>
      </c>
      <c r="P985" s="14">
        <v>21.0155</v>
      </c>
      <c r="Q985" s="14">
        <v>78.9845</v>
      </c>
    </row>
    <row r="986" spans="1:17" ht="12.75" customHeight="1">
      <c r="A986" s="15" t="s">
        <v>657</v>
      </c>
      <c r="B986" s="15"/>
      <c r="C986" s="15"/>
      <c r="D986" s="15"/>
      <c r="E986" s="16" t="s">
        <v>601</v>
      </c>
      <c r="F986" s="17">
        <f t="shared" si="554"/>
        <v>0</v>
      </c>
      <c r="G986" s="17">
        <f>ROUND(0,2)</f>
        <v>0</v>
      </c>
      <c r="H986" s="17">
        <f>ROUND(0,2)</f>
        <v>0</v>
      </c>
      <c r="I986" s="17">
        <f>ROUND(0,2)</f>
        <v>0</v>
      </c>
      <c r="J986" s="17"/>
      <c r="K986" s="17">
        <f>ROUND(0,2)</f>
        <v>0</v>
      </c>
      <c r="L986" s="17"/>
      <c r="M986" s="17">
        <f>ROUND(457.2,2)</f>
        <v>457.2</v>
      </c>
      <c r="N986" s="17">
        <f>ROUND(0,2)</f>
        <v>0</v>
      </c>
      <c r="O986" s="17">
        <f>ROUND(1260.93,2)</f>
        <v>1260.93</v>
      </c>
      <c r="P986" s="18">
        <v>78.9845</v>
      </c>
      <c r="Q986" s="18">
        <v>90.35253752318494</v>
      </c>
    </row>
    <row r="987" spans="1:17" ht="12.75" customHeight="1">
      <c r="A987" s="19" t="s">
        <v>92</v>
      </c>
      <c r="B987" s="19"/>
      <c r="C987" s="19"/>
      <c r="D987" s="19"/>
      <c r="E987" s="20">
        <f>SUM('DS1'!$A$258:$A$259)</f>
        <v>13000</v>
      </c>
      <c r="F987" s="20">
        <v>0</v>
      </c>
      <c r="G987" s="20">
        <v>13000</v>
      </c>
      <c r="H987" s="20">
        <v>9229.66</v>
      </c>
      <c r="I987" s="21">
        <v>9229.66</v>
      </c>
      <c r="J987" s="21"/>
      <c r="K987" s="21">
        <v>9229.66</v>
      </c>
      <c r="L987" s="21"/>
      <c r="M987" s="20">
        <v>9229.66</v>
      </c>
      <c r="N987" s="20">
        <v>6868.22</v>
      </c>
      <c r="O987" s="20">
        <v>3770.34</v>
      </c>
      <c r="P987" s="22">
        <v>29.00261538461539</v>
      </c>
      <c r="Q987" s="22">
        <v>70.99738461538462</v>
      </c>
    </row>
    <row r="988" spans="1:17" ht="12.75" customHeight="1">
      <c r="A988" s="23"/>
      <c r="B988" s="24"/>
      <c r="C988" s="24"/>
      <c r="D988" s="24"/>
      <c r="E988" s="23"/>
      <c r="F988" s="20">
        <v>0</v>
      </c>
      <c r="G988" s="20">
        <v>0</v>
      </c>
      <c r="H988" s="20">
        <v>0</v>
      </c>
      <c r="I988" s="21">
        <v>0</v>
      </c>
      <c r="J988" s="21"/>
      <c r="K988" s="21">
        <v>0</v>
      </c>
      <c r="L988" s="21"/>
      <c r="M988" s="20">
        <v>2361.44</v>
      </c>
      <c r="N988" s="20">
        <v>0</v>
      </c>
      <c r="O988" s="20">
        <v>3770.34</v>
      </c>
      <c r="P988" s="22">
        <v>70.99738461538462</v>
      </c>
      <c r="Q988" s="22">
        <v>74.4146588281692</v>
      </c>
    </row>
    <row r="989" spans="1:17" ht="20.25" customHeight="1">
      <c r="A989" s="23"/>
      <c r="B989" s="24"/>
      <c r="C989" s="24"/>
      <c r="D989" s="24"/>
      <c r="E989" s="23"/>
      <c r="F989" s="23"/>
      <c r="G989" s="23"/>
      <c r="H989" s="23"/>
      <c r="I989" s="24"/>
      <c r="J989" s="24"/>
      <c r="K989" s="24"/>
      <c r="L989" s="24"/>
      <c r="M989" s="23"/>
      <c r="N989" s="23"/>
      <c r="O989" s="23"/>
      <c r="P989" s="23"/>
      <c r="Q989" s="23"/>
    </row>
    <row r="990" spans="1:17" ht="12.75" customHeight="1">
      <c r="A990" s="10"/>
      <c r="B990" s="11" t="s">
        <v>658</v>
      </c>
      <c r="C990" s="11"/>
      <c r="D990" s="11"/>
      <c r="E990" s="12">
        <f>ROUND(20000,2)</f>
        <v>20000</v>
      </c>
      <c r="F990" s="12">
        <f aca="true" t="shared" si="556" ref="F990:F993">ROUND(0,2)</f>
        <v>0</v>
      </c>
      <c r="G990" s="12">
        <f>ROUND(20000,2)</f>
        <v>20000</v>
      </c>
      <c r="H990" s="12">
        <f>ROUND(17056.8,2)</f>
        <v>17056.8</v>
      </c>
      <c r="I990" s="13">
        <f>ROUND(17056.8,2)</f>
        <v>17056.8</v>
      </c>
      <c r="J990" s="13"/>
      <c r="K990" s="13">
        <f>ROUND(12792.6,2)</f>
        <v>12792.6</v>
      </c>
      <c r="L990" s="13"/>
      <c r="M990" s="12">
        <f>ROUND(12792.6,2)</f>
        <v>12792.6</v>
      </c>
      <c r="N990" s="12">
        <f>ROUND(12792.6,2)</f>
        <v>12792.6</v>
      </c>
      <c r="O990" s="12">
        <f>ROUND(2943.2,2)</f>
        <v>2943.2</v>
      </c>
      <c r="P990" s="14">
        <v>14.716</v>
      </c>
      <c r="Q990" s="14">
        <v>63.963</v>
      </c>
    </row>
    <row r="991" spans="1:17" ht="12.75" customHeight="1">
      <c r="A991" s="15" t="s">
        <v>659</v>
      </c>
      <c r="B991" s="15"/>
      <c r="C991" s="15"/>
      <c r="D991" s="15"/>
      <c r="E991" s="16" t="s">
        <v>601</v>
      </c>
      <c r="F991" s="17">
        <f t="shared" si="556"/>
        <v>0</v>
      </c>
      <c r="G991" s="17">
        <f>ROUND(0,2)</f>
        <v>0</v>
      </c>
      <c r="H991" s="17">
        <f>ROUND(0,2)</f>
        <v>0</v>
      </c>
      <c r="I991" s="17">
        <f>ROUND(4264.2,2)</f>
        <v>4264.2</v>
      </c>
      <c r="J991" s="17"/>
      <c r="K991" s="17">
        <f>ROUND(0,2)</f>
        <v>0</v>
      </c>
      <c r="L991" s="17"/>
      <c r="M991" s="17">
        <f>ROUND(0,2)</f>
        <v>0</v>
      </c>
      <c r="N991" s="17">
        <f>ROUND(0,2)</f>
        <v>0</v>
      </c>
      <c r="O991" s="17">
        <f>ROUND(7207.4,2)</f>
        <v>7207.4</v>
      </c>
      <c r="P991" s="18">
        <v>85.28399999999999</v>
      </c>
      <c r="Q991" s="18">
        <v>100</v>
      </c>
    </row>
    <row r="992" spans="1:17" ht="12.75" customHeight="1">
      <c r="A992" s="10"/>
      <c r="B992" s="11" t="s">
        <v>660</v>
      </c>
      <c r="C992" s="11"/>
      <c r="D992" s="11"/>
      <c r="E992" s="12">
        <f>ROUND(5000,2)</f>
        <v>5000</v>
      </c>
      <c r="F992" s="12">
        <f t="shared" si="556"/>
        <v>0</v>
      </c>
      <c r="G992" s="12">
        <f>ROUND(5000,2)</f>
        <v>5000</v>
      </c>
      <c r="H992" s="12">
        <f>ROUND(3974.6,2)</f>
        <v>3974.6</v>
      </c>
      <c r="I992" s="13">
        <f>ROUND(3974.6,2)</f>
        <v>3974.6</v>
      </c>
      <c r="J992" s="13"/>
      <c r="K992" s="13">
        <f>ROUND(3974.6,2)</f>
        <v>3974.6</v>
      </c>
      <c r="L992" s="13"/>
      <c r="M992" s="12">
        <f>ROUND(3974.6,2)</f>
        <v>3974.6</v>
      </c>
      <c r="N992" s="12">
        <f>ROUND(3047.6,2)</f>
        <v>3047.6</v>
      </c>
      <c r="O992" s="12">
        <f aca="true" t="shared" si="557" ref="O992:O993">ROUND(1025.4,2)</f>
        <v>1025.4</v>
      </c>
      <c r="P992" s="14">
        <v>20.508000000000003</v>
      </c>
      <c r="Q992" s="14">
        <v>79.49199999999999</v>
      </c>
    </row>
    <row r="993" spans="1:17" ht="12.75" customHeight="1">
      <c r="A993" s="15" t="s">
        <v>661</v>
      </c>
      <c r="B993" s="15"/>
      <c r="C993" s="15"/>
      <c r="D993" s="15"/>
      <c r="E993" s="16" t="s">
        <v>601</v>
      </c>
      <c r="F993" s="17">
        <f t="shared" si="556"/>
        <v>0</v>
      </c>
      <c r="G993" s="17">
        <f>ROUND(0,2)</f>
        <v>0</v>
      </c>
      <c r="H993" s="17">
        <f>ROUND(0,2)</f>
        <v>0</v>
      </c>
      <c r="I993" s="17">
        <f>ROUND(0,2)</f>
        <v>0</v>
      </c>
      <c r="J993" s="17"/>
      <c r="K993" s="17">
        <f>ROUND(0,2)</f>
        <v>0</v>
      </c>
      <c r="L993" s="17"/>
      <c r="M993" s="17">
        <f>ROUND(927,2)</f>
        <v>927</v>
      </c>
      <c r="N993" s="17">
        <f>ROUND(0,2)</f>
        <v>0</v>
      </c>
      <c r="O993" s="17">
        <f t="shared" si="557"/>
        <v>1025.4</v>
      </c>
      <c r="P993" s="18">
        <v>79.49199999999999</v>
      </c>
      <c r="Q993" s="18">
        <v>76.67689830423187</v>
      </c>
    </row>
    <row r="994" spans="1:17" ht="12.75" customHeight="1">
      <c r="A994" s="19" t="s">
        <v>183</v>
      </c>
      <c r="B994" s="19"/>
      <c r="C994" s="19"/>
      <c r="D994" s="19"/>
      <c r="E994" s="20">
        <f>SUM('DS1'!$A$260:$A$261)</f>
        <v>25000</v>
      </c>
      <c r="F994" s="20">
        <v>0</v>
      </c>
      <c r="G994" s="20">
        <v>25000</v>
      </c>
      <c r="H994" s="20">
        <v>21031.4</v>
      </c>
      <c r="I994" s="21">
        <v>21031.4</v>
      </c>
      <c r="J994" s="21"/>
      <c r="K994" s="21">
        <v>16767.2</v>
      </c>
      <c r="L994" s="21"/>
      <c r="M994" s="20">
        <v>16767.2</v>
      </c>
      <c r="N994" s="20">
        <v>15840.2</v>
      </c>
      <c r="O994" s="20">
        <v>3968.6</v>
      </c>
      <c r="P994" s="22">
        <v>15.8744</v>
      </c>
      <c r="Q994" s="22">
        <v>67.06880000000001</v>
      </c>
    </row>
    <row r="995" spans="1:17" ht="12.75" customHeight="1">
      <c r="A995" s="23"/>
      <c r="B995" s="24"/>
      <c r="C995" s="24"/>
      <c r="D995" s="24"/>
      <c r="E995" s="23"/>
      <c r="F995" s="20">
        <v>0</v>
      </c>
      <c r="G995" s="20">
        <v>0</v>
      </c>
      <c r="H995" s="20">
        <v>0</v>
      </c>
      <c r="I995" s="21">
        <v>4264.199999999999</v>
      </c>
      <c r="J995" s="21"/>
      <c r="K995" s="21">
        <v>0</v>
      </c>
      <c r="L995" s="21"/>
      <c r="M995" s="20">
        <v>927</v>
      </c>
      <c r="N995" s="20">
        <v>0</v>
      </c>
      <c r="O995" s="20">
        <v>8232.8</v>
      </c>
      <c r="P995" s="22">
        <v>84.1256</v>
      </c>
      <c r="Q995" s="22">
        <v>94.47134882389427</v>
      </c>
    </row>
    <row r="996" spans="1:17" ht="20.25" customHeight="1">
      <c r="A996" s="23"/>
      <c r="B996" s="24"/>
      <c r="C996" s="24"/>
      <c r="D996" s="24"/>
      <c r="E996" s="23"/>
      <c r="F996" s="23"/>
      <c r="G996" s="23"/>
      <c r="H996" s="23"/>
      <c r="I996" s="24"/>
      <c r="J996" s="24"/>
      <c r="K996" s="24"/>
      <c r="L996" s="24"/>
      <c r="M996" s="23"/>
      <c r="N996" s="23"/>
      <c r="O996" s="23"/>
      <c r="P996" s="23"/>
      <c r="Q996" s="23"/>
    </row>
    <row r="997" spans="1:17" ht="12.75" customHeight="1">
      <c r="A997" s="10"/>
      <c r="B997" s="11" t="s">
        <v>662</v>
      </c>
      <c r="C997" s="11"/>
      <c r="D997" s="11"/>
      <c r="E997" s="12">
        <f>ROUND(3500,2)</f>
        <v>3500</v>
      </c>
      <c r="F997" s="12">
        <f aca="true" t="shared" si="558" ref="F997:F998">ROUND(0,2)</f>
        <v>0</v>
      </c>
      <c r="G997" s="12">
        <f>ROUND(3500,2)</f>
        <v>3500</v>
      </c>
      <c r="H997" s="12">
        <f>ROUND(2686.73,2)</f>
        <v>2686.73</v>
      </c>
      <c r="I997" s="13">
        <f>ROUND(2686.73,2)</f>
        <v>2686.73</v>
      </c>
      <c r="J997" s="13"/>
      <c r="K997" s="13">
        <f>ROUND(2686.73,2)</f>
        <v>2686.73</v>
      </c>
      <c r="L997" s="13"/>
      <c r="M997" s="12">
        <f>ROUND(2686.73,2)</f>
        <v>2686.73</v>
      </c>
      <c r="N997" s="12">
        <f>ROUND(2279.82,2)</f>
        <v>2279.82</v>
      </c>
      <c r="O997" s="12">
        <f aca="true" t="shared" si="559" ref="O997:O998">ROUND(813.27,2)</f>
        <v>813.27</v>
      </c>
      <c r="P997" s="14">
        <v>23.236285714285714</v>
      </c>
      <c r="Q997" s="14">
        <v>76.76371428571429</v>
      </c>
    </row>
    <row r="998" spans="1:17" ht="12.75" customHeight="1">
      <c r="A998" s="15" t="s">
        <v>663</v>
      </c>
      <c r="B998" s="15"/>
      <c r="C998" s="15"/>
      <c r="D998" s="15"/>
      <c r="E998" s="16" t="s">
        <v>601</v>
      </c>
      <c r="F998" s="17">
        <f t="shared" si="558"/>
        <v>0</v>
      </c>
      <c r="G998" s="17">
        <f>ROUND(0,2)</f>
        <v>0</v>
      </c>
      <c r="H998" s="17">
        <f>ROUND(0,2)</f>
        <v>0</v>
      </c>
      <c r="I998" s="17">
        <f>ROUND(0,2)</f>
        <v>0</v>
      </c>
      <c r="J998" s="17"/>
      <c r="K998" s="17">
        <f>ROUND(0,2)</f>
        <v>0</v>
      </c>
      <c r="L998" s="17"/>
      <c r="M998" s="17">
        <f>ROUND(406.91,2)</f>
        <v>406.91</v>
      </c>
      <c r="N998" s="17">
        <f>ROUND(0,2)</f>
        <v>0</v>
      </c>
      <c r="O998" s="17">
        <f t="shared" si="559"/>
        <v>813.27</v>
      </c>
      <c r="P998" s="18">
        <v>76.76371428571429</v>
      </c>
      <c r="Q998" s="18">
        <v>84.8548235215299</v>
      </c>
    </row>
    <row r="999" spans="1:17" ht="12.75" customHeight="1">
      <c r="A999" s="19" t="s">
        <v>95</v>
      </c>
      <c r="B999" s="19"/>
      <c r="C999" s="19"/>
      <c r="D999" s="19"/>
      <c r="E999" s="20">
        <f>SUM('DS1'!$A$262)</f>
        <v>3500</v>
      </c>
      <c r="F999" s="20">
        <v>0</v>
      </c>
      <c r="G999" s="20">
        <v>3500</v>
      </c>
      <c r="H999" s="20">
        <v>2686.73</v>
      </c>
      <c r="I999" s="21">
        <v>2686.73</v>
      </c>
      <c r="J999" s="21"/>
      <c r="K999" s="21">
        <v>2686.73</v>
      </c>
      <c r="L999" s="21"/>
      <c r="M999" s="20">
        <v>2686.73</v>
      </c>
      <c r="N999" s="20">
        <v>2279.82</v>
      </c>
      <c r="O999" s="20">
        <v>813.27</v>
      </c>
      <c r="P999" s="22">
        <v>23.236285714285714</v>
      </c>
      <c r="Q999" s="22">
        <v>76.76371428571429</v>
      </c>
    </row>
    <row r="1000" spans="1:17" ht="12.75" customHeight="1">
      <c r="A1000" s="23"/>
      <c r="B1000" s="24"/>
      <c r="C1000" s="24"/>
      <c r="D1000" s="24"/>
      <c r="E1000" s="23"/>
      <c r="F1000" s="20">
        <v>0</v>
      </c>
      <c r="G1000" s="20">
        <v>0</v>
      </c>
      <c r="H1000" s="20">
        <v>0</v>
      </c>
      <c r="I1000" s="21">
        <v>0</v>
      </c>
      <c r="J1000" s="21"/>
      <c r="K1000" s="21">
        <v>0</v>
      </c>
      <c r="L1000" s="21"/>
      <c r="M1000" s="20">
        <v>406.90999999999985</v>
      </c>
      <c r="N1000" s="20">
        <v>0</v>
      </c>
      <c r="O1000" s="20">
        <v>813.27</v>
      </c>
      <c r="P1000" s="22">
        <v>76.76371428571429</v>
      </c>
      <c r="Q1000" s="22">
        <v>84.8548235215299</v>
      </c>
    </row>
    <row r="1001" spans="1:17" ht="20.25" customHeight="1">
      <c r="A1001" s="23"/>
      <c r="B1001" s="24"/>
      <c r="C1001" s="24"/>
      <c r="D1001" s="24"/>
      <c r="E1001" s="23"/>
      <c r="F1001" s="23"/>
      <c r="G1001" s="23"/>
      <c r="H1001" s="23"/>
      <c r="I1001" s="24"/>
      <c r="J1001" s="24"/>
      <c r="K1001" s="24"/>
      <c r="L1001" s="24"/>
      <c r="M1001" s="23"/>
      <c r="N1001" s="23"/>
      <c r="O1001" s="23"/>
      <c r="P1001" s="23"/>
      <c r="Q1001" s="23"/>
    </row>
    <row r="1002" spans="1:17" ht="12.75" customHeight="1">
      <c r="A1002" s="10"/>
      <c r="B1002" s="11" t="s">
        <v>664</v>
      </c>
      <c r="C1002" s="11"/>
      <c r="D1002" s="11"/>
      <c r="E1002" s="12">
        <f>ROUND(1500,2)</f>
        <v>1500</v>
      </c>
      <c r="F1002" s="12">
        <f aca="true" t="shared" si="560" ref="F1002:F1005">ROUND(0,2)</f>
        <v>0</v>
      </c>
      <c r="G1002" s="12">
        <f>ROUND(1500,2)</f>
        <v>1500</v>
      </c>
      <c r="H1002" s="12">
        <f aca="true" t="shared" si="561" ref="H1002:H1005">ROUND(0,2)</f>
        <v>0</v>
      </c>
      <c r="I1002" s="13">
        <f aca="true" t="shared" si="562" ref="I1002:I1005">ROUND(0,2)</f>
        <v>0</v>
      </c>
      <c r="J1002" s="13"/>
      <c r="K1002" s="13">
        <f aca="true" t="shared" si="563" ref="K1002:K1005">ROUND(0,2)</f>
        <v>0</v>
      </c>
      <c r="L1002" s="13"/>
      <c r="M1002" s="12">
        <f aca="true" t="shared" si="564" ref="M1002:M1005">ROUND(0,2)</f>
        <v>0</v>
      </c>
      <c r="N1002" s="12">
        <f aca="true" t="shared" si="565" ref="N1002:N1005">ROUND(0,2)</f>
        <v>0</v>
      </c>
      <c r="O1002" s="12">
        <f aca="true" t="shared" si="566" ref="O1002:O1005">ROUND(1500,2)</f>
        <v>1500</v>
      </c>
      <c r="P1002" s="14">
        <v>100</v>
      </c>
      <c r="Q1002" s="14">
        <v>0</v>
      </c>
    </row>
    <row r="1003" spans="1:17" ht="12.75" customHeight="1">
      <c r="A1003" s="15" t="s">
        <v>665</v>
      </c>
      <c r="B1003" s="15"/>
      <c r="C1003" s="15"/>
      <c r="D1003" s="15"/>
      <c r="E1003" s="16" t="s">
        <v>601</v>
      </c>
      <c r="F1003" s="17">
        <f t="shared" si="560"/>
        <v>0</v>
      </c>
      <c r="G1003" s="17">
        <f>ROUND(0,2)</f>
        <v>0</v>
      </c>
      <c r="H1003" s="17">
        <f t="shared" si="561"/>
        <v>0</v>
      </c>
      <c r="I1003" s="17">
        <f t="shared" si="562"/>
        <v>0</v>
      </c>
      <c r="J1003" s="17"/>
      <c r="K1003" s="17">
        <f t="shared" si="563"/>
        <v>0</v>
      </c>
      <c r="L1003" s="17"/>
      <c r="M1003" s="17">
        <f t="shared" si="564"/>
        <v>0</v>
      </c>
      <c r="N1003" s="17">
        <f t="shared" si="565"/>
        <v>0</v>
      </c>
      <c r="O1003" s="17">
        <f t="shared" si="566"/>
        <v>1500</v>
      </c>
      <c r="P1003" s="18">
        <v>0</v>
      </c>
      <c r="Q1003" s="18">
        <v>0</v>
      </c>
    </row>
    <row r="1004" spans="1:17" ht="12.75" customHeight="1">
      <c r="A1004" s="10"/>
      <c r="B1004" s="11" t="s">
        <v>666</v>
      </c>
      <c r="C1004" s="11"/>
      <c r="D1004" s="11"/>
      <c r="E1004" s="12">
        <f>ROUND(1500,2)</f>
        <v>1500</v>
      </c>
      <c r="F1004" s="12">
        <f t="shared" si="560"/>
        <v>0</v>
      </c>
      <c r="G1004" s="12">
        <f>ROUND(1500,2)</f>
        <v>1500</v>
      </c>
      <c r="H1004" s="12">
        <f t="shared" si="561"/>
        <v>0</v>
      </c>
      <c r="I1004" s="13">
        <f t="shared" si="562"/>
        <v>0</v>
      </c>
      <c r="J1004" s="13"/>
      <c r="K1004" s="13">
        <f t="shared" si="563"/>
        <v>0</v>
      </c>
      <c r="L1004" s="13"/>
      <c r="M1004" s="12">
        <f t="shared" si="564"/>
        <v>0</v>
      </c>
      <c r="N1004" s="12">
        <f t="shared" si="565"/>
        <v>0</v>
      </c>
      <c r="O1004" s="12">
        <f t="shared" si="566"/>
        <v>1500</v>
      </c>
      <c r="P1004" s="14">
        <v>100</v>
      </c>
      <c r="Q1004" s="14">
        <v>0</v>
      </c>
    </row>
    <row r="1005" spans="1:17" ht="12.75" customHeight="1">
      <c r="A1005" s="15" t="s">
        <v>667</v>
      </c>
      <c r="B1005" s="15"/>
      <c r="C1005" s="15"/>
      <c r="D1005" s="15"/>
      <c r="E1005" s="16" t="s">
        <v>601</v>
      </c>
      <c r="F1005" s="17">
        <f t="shared" si="560"/>
        <v>0</v>
      </c>
      <c r="G1005" s="17">
        <f>ROUND(0,2)</f>
        <v>0</v>
      </c>
      <c r="H1005" s="17">
        <f t="shared" si="561"/>
        <v>0</v>
      </c>
      <c r="I1005" s="17">
        <f t="shared" si="562"/>
        <v>0</v>
      </c>
      <c r="J1005" s="17"/>
      <c r="K1005" s="17">
        <f t="shared" si="563"/>
        <v>0</v>
      </c>
      <c r="L1005" s="17"/>
      <c r="M1005" s="17">
        <f t="shared" si="564"/>
        <v>0</v>
      </c>
      <c r="N1005" s="17">
        <f t="shared" si="565"/>
        <v>0</v>
      </c>
      <c r="O1005" s="17">
        <f t="shared" si="566"/>
        <v>1500</v>
      </c>
      <c r="P1005" s="18">
        <v>0</v>
      </c>
      <c r="Q1005" s="18">
        <v>0</v>
      </c>
    </row>
    <row r="1006" spans="1:17" ht="12.75" customHeight="1">
      <c r="A1006" s="19" t="s">
        <v>124</v>
      </c>
      <c r="B1006" s="19"/>
      <c r="C1006" s="19"/>
      <c r="D1006" s="19"/>
      <c r="E1006" s="20">
        <f>SUM('DS1'!$A$263:$A$264)</f>
        <v>3000</v>
      </c>
      <c r="F1006" s="20">
        <v>0</v>
      </c>
      <c r="G1006" s="20">
        <v>3000</v>
      </c>
      <c r="H1006" s="20">
        <v>0</v>
      </c>
      <c r="I1006" s="21">
        <v>0</v>
      </c>
      <c r="J1006" s="21"/>
      <c r="K1006" s="21">
        <v>0</v>
      </c>
      <c r="L1006" s="21"/>
      <c r="M1006" s="20">
        <v>0</v>
      </c>
      <c r="N1006" s="20">
        <v>0</v>
      </c>
      <c r="O1006" s="20">
        <v>3000</v>
      </c>
      <c r="P1006" s="22">
        <v>100</v>
      </c>
      <c r="Q1006" s="22">
        <v>0</v>
      </c>
    </row>
    <row r="1007" spans="1:17" ht="12.75" customHeight="1">
      <c r="A1007" s="23"/>
      <c r="B1007" s="24"/>
      <c r="C1007" s="24"/>
      <c r="D1007" s="24"/>
      <c r="E1007" s="23"/>
      <c r="F1007" s="20">
        <v>0</v>
      </c>
      <c r="G1007" s="20">
        <v>0</v>
      </c>
      <c r="H1007" s="20">
        <v>0</v>
      </c>
      <c r="I1007" s="21">
        <v>0</v>
      </c>
      <c r="J1007" s="21"/>
      <c r="K1007" s="21">
        <v>0</v>
      </c>
      <c r="L1007" s="21"/>
      <c r="M1007" s="20">
        <v>0</v>
      </c>
      <c r="N1007" s="20">
        <v>0</v>
      </c>
      <c r="O1007" s="20">
        <v>3000</v>
      </c>
      <c r="P1007" s="22">
        <v>0</v>
      </c>
      <c r="Q1007" s="22">
        <v>0</v>
      </c>
    </row>
    <row r="1008" spans="1:17" ht="20.25" customHeight="1">
      <c r="A1008" s="23"/>
      <c r="B1008" s="24"/>
      <c r="C1008" s="24"/>
      <c r="D1008" s="24"/>
      <c r="E1008" s="23"/>
      <c r="F1008" s="23"/>
      <c r="G1008" s="23"/>
      <c r="H1008" s="23"/>
      <c r="I1008" s="24"/>
      <c r="J1008" s="24"/>
      <c r="K1008" s="24"/>
      <c r="L1008" s="24"/>
      <c r="M1008" s="23"/>
      <c r="N1008" s="23"/>
      <c r="O1008" s="23"/>
      <c r="P1008" s="23"/>
      <c r="Q1008" s="23"/>
    </row>
    <row r="1009" spans="1:17" ht="12.75" customHeight="1">
      <c r="A1009" s="10"/>
      <c r="B1009" s="11" t="s">
        <v>668</v>
      </c>
      <c r="C1009" s="11"/>
      <c r="D1009" s="11"/>
      <c r="E1009" s="12">
        <f>ROUND(180000,2)</f>
        <v>180000</v>
      </c>
      <c r="F1009" s="12">
        <f aca="true" t="shared" si="567" ref="F1009:F1012">ROUND(0,2)</f>
        <v>0</v>
      </c>
      <c r="G1009" s="12">
        <f>ROUND(180000,2)</f>
        <v>180000</v>
      </c>
      <c r="H1009" s="12">
        <f>ROUND(153333.52,2)</f>
        <v>153333.52</v>
      </c>
      <c r="I1009" s="13">
        <f>ROUND(153333.52,2)</f>
        <v>153333.52</v>
      </c>
      <c r="J1009" s="13"/>
      <c r="K1009" s="13">
        <f>ROUND(145151.42,2)</f>
        <v>145151.42</v>
      </c>
      <c r="L1009" s="13"/>
      <c r="M1009" s="12">
        <f>ROUND(145151.42,2)</f>
        <v>145151.42</v>
      </c>
      <c r="N1009" s="12">
        <f>ROUND(117636.54,2)</f>
        <v>117636.54</v>
      </c>
      <c r="O1009" s="12">
        <f>ROUND(26666.48,2)</f>
        <v>26666.48</v>
      </c>
      <c r="P1009" s="14">
        <v>14.814711111111112</v>
      </c>
      <c r="Q1009" s="14">
        <v>80.63967777777779</v>
      </c>
    </row>
    <row r="1010" spans="1:17" ht="12.75" customHeight="1">
      <c r="A1010" s="15" t="s">
        <v>669</v>
      </c>
      <c r="B1010" s="15"/>
      <c r="C1010" s="15"/>
      <c r="D1010" s="15"/>
      <c r="E1010" s="16" t="s">
        <v>601</v>
      </c>
      <c r="F1010" s="17">
        <f t="shared" si="567"/>
        <v>0</v>
      </c>
      <c r="G1010" s="17">
        <f>ROUND(0,2)</f>
        <v>0</v>
      </c>
      <c r="H1010" s="17">
        <f>ROUND(0,2)</f>
        <v>0</v>
      </c>
      <c r="I1010" s="17">
        <f>ROUND(8182.09999999998,2)</f>
        <v>8182.1</v>
      </c>
      <c r="J1010" s="17"/>
      <c r="K1010" s="17">
        <f>ROUND(0,2)</f>
        <v>0</v>
      </c>
      <c r="L1010" s="17"/>
      <c r="M1010" s="17">
        <f>ROUND(27514.88,2)</f>
        <v>27514.88</v>
      </c>
      <c r="N1010" s="17">
        <f>ROUND(0,2)</f>
        <v>0</v>
      </c>
      <c r="O1010" s="17">
        <f>ROUND(34848.58,2)</f>
        <v>34848.58</v>
      </c>
      <c r="P1010" s="18">
        <v>85.18528888888889</v>
      </c>
      <c r="Q1010" s="18">
        <v>81.0440159662234</v>
      </c>
    </row>
    <row r="1011" spans="1:17" ht="12.75" customHeight="1">
      <c r="A1011" s="10"/>
      <c r="B1011" s="11" t="s">
        <v>670</v>
      </c>
      <c r="C1011" s="11"/>
      <c r="D1011" s="11"/>
      <c r="E1011" s="12">
        <f>ROUND(75000,2)</f>
        <v>75000</v>
      </c>
      <c r="F1011" s="12">
        <f t="shared" si="567"/>
        <v>0</v>
      </c>
      <c r="G1011" s="12">
        <f>ROUND(75000,2)</f>
        <v>75000</v>
      </c>
      <c r="H1011" s="12">
        <f>ROUND(48269.56,2)</f>
        <v>48269.56</v>
      </c>
      <c r="I1011" s="13">
        <f>ROUND(48269.56,2)</f>
        <v>48269.56</v>
      </c>
      <c r="J1011" s="13"/>
      <c r="K1011" s="13">
        <f>ROUND(41960.64,2)</f>
        <v>41960.64</v>
      </c>
      <c r="L1011" s="13"/>
      <c r="M1011" s="12">
        <f>ROUND(41960.64,2)</f>
        <v>41960.64</v>
      </c>
      <c r="N1011" s="12">
        <f>ROUND(41780.64,2)</f>
        <v>41780.64</v>
      </c>
      <c r="O1011" s="12">
        <f>ROUND(14218.04,2)</f>
        <v>14218.04</v>
      </c>
      <c r="P1011" s="14">
        <v>18.957386666666668</v>
      </c>
      <c r="Q1011" s="14">
        <v>55.94752</v>
      </c>
    </row>
    <row r="1012" spans="1:17" ht="12.75" customHeight="1">
      <c r="A1012" s="15" t="s">
        <v>671</v>
      </c>
      <c r="B1012" s="15"/>
      <c r="C1012" s="15"/>
      <c r="D1012" s="15"/>
      <c r="E1012" s="16" t="s">
        <v>601</v>
      </c>
      <c r="F1012" s="17">
        <f t="shared" si="567"/>
        <v>0</v>
      </c>
      <c r="G1012" s="17">
        <f>ROUND(12512.4,2)</f>
        <v>12512.4</v>
      </c>
      <c r="H1012" s="17">
        <f>ROUND(0,2)</f>
        <v>0</v>
      </c>
      <c r="I1012" s="17">
        <f>ROUND(6308.92,2)</f>
        <v>6308.92</v>
      </c>
      <c r="J1012" s="17"/>
      <c r="K1012" s="17">
        <f>ROUND(0,2)</f>
        <v>0</v>
      </c>
      <c r="L1012" s="17"/>
      <c r="M1012" s="17">
        <f>ROUND(180,2)</f>
        <v>180</v>
      </c>
      <c r="N1012" s="17">
        <f>ROUND(0,2)</f>
        <v>0</v>
      </c>
      <c r="O1012" s="17">
        <f>ROUND(33039.36,2)</f>
        <v>33039.36</v>
      </c>
      <c r="P1012" s="18">
        <v>64.35941333333332</v>
      </c>
      <c r="Q1012" s="18">
        <v>99.57102656203529</v>
      </c>
    </row>
    <row r="1013" spans="1:17" ht="12.75" customHeight="1">
      <c r="A1013" s="19" t="s">
        <v>37</v>
      </c>
      <c r="B1013" s="19"/>
      <c r="C1013" s="19"/>
      <c r="D1013" s="19"/>
      <c r="E1013" s="20">
        <f>SUM('DS1'!$A$265:$A$266)</f>
        <v>255000</v>
      </c>
      <c r="F1013" s="20">
        <v>0</v>
      </c>
      <c r="G1013" s="20">
        <v>255000</v>
      </c>
      <c r="H1013" s="20">
        <v>201603.08</v>
      </c>
      <c r="I1013" s="21">
        <v>201603.08</v>
      </c>
      <c r="J1013" s="21"/>
      <c r="K1013" s="21">
        <v>187112.06</v>
      </c>
      <c r="L1013" s="21"/>
      <c r="M1013" s="20">
        <v>187112.06</v>
      </c>
      <c r="N1013" s="20">
        <v>159417.18</v>
      </c>
      <c r="O1013" s="20">
        <v>40884.52</v>
      </c>
      <c r="P1013" s="22">
        <v>16.033145098039213</v>
      </c>
      <c r="Q1013" s="22">
        <v>73.37727843137255</v>
      </c>
    </row>
    <row r="1014" spans="1:17" ht="12.75" customHeight="1">
      <c r="A1014" s="23"/>
      <c r="B1014" s="24"/>
      <c r="C1014" s="24"/>
      <c r="D1014" s="24"/>
      <c r="E1014" s="23"/>
      <c r="F1014" s="20">
        <v>0</v>
      </c>
      <c r="G1014" s="20">
        <v>12512.400000000001</v>
      </c>
      <c r="H1014" s="20">
        <v>0</v>
      </c>
      <c r="I1014" s="21">
        <v>14491.019999999975</v>
      </c>
      <c r="J1014" s="21"/>
      <c r="K1014" s="21">
        <v>0</v>
      </c>
      <c r="L1014" s="21"/>
      <c r="M1014" s="20">
        <v>27694.88000000002</v>
      </c>
      <c r="N1014" s="20">
        <v>0</v>
      </c>
      <c r="O1014" s="20">
        <v>67887.93999999999</v>
      </c>
      <c r="P1014" s="22">
        <v>79.060031372549</v>
      </c>
      <c r="Q1014" s="22">
        <v>85.1987733981444</v>
      </c>
    </row>
    <row r="1015" spans="1:17" ht="20.25" customHeight="1">
      <c r="A1015" s="23"/>
      <c r="B1015" s="24"/>
      <c r="C1015" s="24"/>
      <c r="D1015" s="24"/>
      <c r="E1015" s="23"/>
      <c r="F1015" s="23"/>
      <c r="G1015" s="23"/>
      <c r="H1015" s="23"/>
      <c r="I1015" s="24"/>
      <c r="J1015" s="24"/>
      <c r="K1015" s="24"/>
      <c r="L1015" s="24"/>
      <c r="M1015" s="23"/>
      <c r="N1015" s="23"/>
      <c r="O1015" s="23"/>
      <c r="P1015" s="23"/>
      <c r="Q1015" s="23"/>
    </row>
    <row r="1016" spans="1:17" ht="12.75" customHeight="1">
      <c r="A1016" s="10"/>
      <c r="B1016" s="11" t="s">
        <v>672</v>
      </c>
      <c r="C1016" s="11"/>
      <c r="D1016" s="11"/>
      <c r="E1016" s="12">
        <f>ROUND(12000,2)</f>
        <v>12000</v>
      </c>
      <c r="F1016" s="12">
        <f aca="true" t="shared" si="568" ref="F1016:F1017">ROUND(0,2)</f>
        <v>0</v>
      </c>
      <c r="G1016" s="12">
        <f>ROUND(12000,2)</f>
        <v>12000</v>
      </c>
      <c r="H1016" s="12">
        <f>ROUND(1600,2)</f>
        <v>1600</v>
      </c>
      <c r="I1016" s="13">
        <f>ROUND(1600,2)</f>
        <v>1600</v>
      </c>
      <c r="J1016" s="13"/>
      <c r="K1016" s="13">
        <f>ROUND(1600,2)</f>
        <v>1600</v>
      </c>
      <c r="L1016" s="13"/>
      <c r="M1016" s="12">
        <f>ROUND(1600,2)</f>
        <v>1600</v>
      </c>
      <c r="N1016" s="12">
        <f>ROUND(1600,2)</f>
        <v>1600</v>
      </c>
      <c r="O1016" s="12">
        <f aca="true" t="shared" si="569" ref="O1016:O1017">ROUND(10400,2)</f>
        <v>10400</v>
      </c>
      <c r="P1016" s="14">
        <v>86.66666666666667</v>
      </c>
      <c r="Q1016" s="14">
        <v>13.333333333333334</v>
      </c>
    </row>
    <row r="1017" spans="1:17" ht="12.75" customHeight="1">
      <c r="A1017" s="15" t="s">
        <v>673</v>
      </c>
      <c r="B1017" s="15"/>
      <c r="C1017" s="15"/>
      <c r="D1017" s="15"/>
      <c r="E1017" s="16" t="s">
        <v>636</v>
      </c>
      <c r="F1017" s="17">
        <f t="shared" si="568"/>
        <v>0</v>
      </c>
      <c r="G1017" s="17">
        <f>ROUND(0,2)</f>
        <v>0</v>
      </c>
      <c r="H1017" s="17">
        <f>ROUND(0,2)</f>
        <v>0</v>
      </c>
      <c r="I1017" s="17">
        <f>ROUND(0,2)</f>
        <v>0</v>
      </c>
      <c r="J1017" s="17"/>
      <c r="K1017" s="17">
        <f>ROUND(0,2)</f>
        <v>0</v>
      </c>
      <c r="L1017" s="17"/>
      <c r="M1017" s="17">
        <f>ROUND(0,2)</f>
        <v>0</v>
      </c>
      <c r="N1017" s="17">
        <f>ROUND(0,2)</f>
        <v>0</v>
      </c>
      <c r="O1017" s="17">
        <f t="shared" si="569"/>
        <v>10400</v>
      </c>
      <c r="P1017" s="18">
        <v>13.333333333333334</v>
      </c>
      <c r="Q1017" s="18">
        <v>100</v>
      </c>
    </row>
    <row r="1018" spans="1:17" ht="12.75" customHeight="1">
      <c r="A1018" s="19" t="s">
        <v>564</v>
      </c>
      <c r="B1018" s="19"/>
      <c r="C1018" s="19"/>
      <c r="D1018" s="19"/>
      <c r="E1018" s="20">
        <f>SUM('DS1'!$A$267)</f>
        <v>12000</v>
      </c>
      <c r="F1018" s="20">
        <v>0</v>
      </c>
      <c r="G1018" s="20">
        <v>12000</v>
      </c>
      <c r="H1018" s="20">
        <v>1600</v>
      </c>
      <c r="I1018" s="21">
        <v>1600</v>
      </c>
      <c r="J1018" s="21"/>
      <c r="K1018" s="21">
        <v>1600</v>
      </c>
      <c r="L1018" s="21"/>
      <c r="M1018" s="20">
        <v>1600</v>
      </c>
      <c r="N1018" s="20">
        <v>1600</v>
      </c>
      <c r="O1018" s="20">
        <v>10400</v>
      </c>
      <c r="P1018" s="22">
        <v>86.66666666666667</v>
      </c>
      <c r="Q1018" s="22">
        <v>13.333333333333334</v>
      </c>
    </row>
    <row r="1019" spans="1:17" ht="12.75" customHeight="1">
      <c r="A1019" s="23"/>
      <c r="B1019" s="24"/>
      <c r="C1019" s="24"/>
      <c r="D1019" s="24"/>
      <c r="E1019" s="23"/>
      <c r="F1019" s="20">
        <v>0</v>
      </c>
      <c r="G1019" s="20">
        <v>0</v>
      </c>
      <c r="H1019" s="20">
        <v>0</v>
      </c>
      <c r="I1019" s="21">
        <v>0</v>
      </c>
      <c r="J1019" s="21"/>
      <c r="K1019" s="21">
        <v>0</v>
      </c>
      <c r="L1019" s="21"/>
      <c r="M1019" s="20">
        <v>0</v>
      </c>
      <c r="N1019" s="20">
        <v>0</v>
      </c>
      <c r="O1019" s="20">
        <v>10400</v>
      </c>
      <c r="P1019" s="22">
        <v>13.333333333333334</v>
      </c>
      <c r="Q1019" s="22">
        <v>100</v>
      </c>
    </row>
    <row r="1020" spans="1:17" ht="20.25" customHeight="1">
      <c r="A1020" s="23"/>
      <c r="B1020" s="24"/>
      <c r="C1020" s="24"/>
      <c r="D1020" s="24"/>
      <c r="E1020" s="23"/>
      <c r="F1020" s="23"/>
      <c r="G1020" s="23"/>
      <c r="H1020" s="23"/>
      <c r="I1020" s="24"/>
      <c r="J1020" s="24"/>
      <c r="K1020" s="24"/>
      <c r="L1020" s="24"/>
      <c r="M1020" s="23"/>
      <c r="N1020" s="23"/>
      <c r="O1020" s="23"/>
      <c r="P1020" s="23"/>
      <c r="Q1020" s="23"/>
    </row>
    <row r="1021" spans="1:17" ht="12.75" customHeight="1">
      <c r="A1021" s="10"/>
      <c r="B1021" s="11" t="s">
        <v>674</v>
      </c>
      <c r="C1021" s="11"/>
      <c r="D1021" s="11"/>
      <c r="E1021" s="12">
        <f>ROUND(15000,2)</f>
        <v>15000</v>
      </c>
      <c r="F1021" s="12">
        <f aca="true" t="shared" si="570" ref="F1021:F1022">ROUND(0,2)</f>
        <v>0</v>
      </c>
      <c r="G1021" s="12">
        <f>ROUND(15000,2)</f>
        <v>15000</v>
      </c>
      <c r="H1021" s="12">
        <f aca="true" t="shared" si="571" ref="H1021:H1022">ROUND(0,2)</f>
        <v>0</v>
      </c>
      <c r="I1021" s="13">
        <f aca="true" t="shared" si="572" ref="I1021:I1022">ROUND(0,2)</f>
        <v>0</v>
      </c>
      <c r="J1021" s="13"/>
      <c r="K1021" s="13">
        <f aca="true" t="shared" si="573" ref="K1021:K1022">ROUND(0,2)</f>
        <v>0</v>
      </c>
      <c r="L1021" s="13"/>
      <c r="M1021" s="12">
        <f aca="true" t="shared" si="574" ref="M1021:M1022">ROUND(0,2)</f>
        <v>0</v>
      </c>
      <c r="N1021" s="12">
        <f aca="true" t="shared" si="575" ref="N1021:N1022">ROUND(0,2)</f>
        <v>0</v>
      </c>
      <c r="O1021" s="12">
        <f aca="true" t="shared" si="576" ref="O1021:O1022">ROUND(15000,2)</f>
        <v>15000</v>
      </c>
      <c r="P1021" s="14">
        <v>100</v>
      </c>
      <c r="Q1021" s="14">
        <v>0</v>
      </c>
    </row>
    <row r="1022" spans="1:17" ht="12.75" customHeight="1">
      <c r="A1022" s="15" t="s">
        <v>675</v>
      </c>
      <c r="B1022" s="15"/>
      <c r="C1022" s="15"/>
      <c r="D1022" s="15"/>
      <c r="E1022" s="16" t="s">
        <v>636</v>
      </c>
      <c r="F1022" s="17">
        <f t="shared" si="570"/>
        <v>0</v>
      </c>
      <c r="G1022" s="17">
        <f>ROUND(0,2)</f>
        <v>0</v>
      </c>
      <c r="H1022" s="17">
        <f t="shared" si="571"/>
        <v>0</v>
      </c>
      <c r="I1022" s="17">
        <f t="shared" si="572"/>
        <v>0</v>
      </c>
      <c r="J1022" s="17"/>
      <c r="K1022" s="17">
        <f t="shared" si="573"/>
        <v>0</v>
      </c>
      <c r="L1022" s="17"/>
      <c r="M1022" s="17">
        <f t="shared" si="574"/>
        <v>0</v>
      </c>
      <c r="N1022" s="17">
        <f t="shared" si="575"/>
        <v>0</v>
      </c>
      <c r="O1022" s="17">
        <f t="shared" si="576"/>
        <v>15000</v>
      </c>
      <c r="P1022" s="18">
        <v>0</v>
      </c>
      <c r="Q1022" s="18">
        <v>0</v>
      </c>
    </row>
    <row r="1023" spans="1:17" ht="12.75" customHeight="1">
      <c r="A1023" s="19" t="s">
        <v>461</v>
      </c>
      <c r="B1023" s="19"/>
      <c r="C1023" s="19"/>
      <c r="D1023" s="19"/>
      <c r="E1023" s="20">
        <f>SUM('DS1'!$A$268)</f>
        <v>15000</v>
      </c>
      <c r="F1023" s="20">
        <v>0</v>
      </c>
      <c r="G1023" s="20">
        <v>15000</v>
      </c>
      <c r="H1023" s="20">
        <v>0</v>
      </c>
      <c r="I1023" s="21">
        <v>0</v>
      </c>
      <c r="J1023" s="21"/>
      <c r="K1023" s="21">
        <v>0</v>
      </c>
      <c r="L1023" s="21"/>
      <c r="M1023" s="20">
        <v>0</v>
      </c>
      <c r="N1023" s="20">
        <v>0</v>
      </c>
      <c r="O1023" s="20">
        <v>15000</v>
      </c>
      <c r="P1023" s="22">
        <v>100</v>
      </c>
      <c r="Q1023" s="22">
        <v>0</v>
      </c>
    </row>
    <row r="1024" spans="1:17" ht="12.75" customHeight="1">
      <c r="A1024" s="23"/>
      <c r="B1024" s="24"/>
      <c r="C1024" s="24"/>
      <c r="D1024" s="24"/>
      <c r="E1024" s="23"/>
      <c r="F1024" s="20">
        <v>0</v>
      </c>
      <c r="G1024" s="20">
        <v>0</v>
      </c>
      <c r="H1024" s="20">
        <v>0</v>
      </c>
      <c r="I1024" s="21">
        <v>0</v>
      </c>
      <c r="J1024" s="21"/>
      <c r="K1024" s="21">
        <v>0</v>
      </c>
      <c r="L1024" s="21"/>
      <c r="M1024" s="20">
        <v>0</v>
      </c>
      <c r="N1024" s="20">
        <v>0</v>
      </c>
      <c r="O1024" s="20">
        <v>15000</v>
      </c>
      <c r="P1024" s="22">
        <v>0</v>
      </c>
      <c r="Q1024" s="22">
        <v>0</v>
      </c>
    </row>
    <row r="1025" spans="1:17" ht="20.25" customHeight="1">
      <c r="A1025" s="23"/>
      <c r="B1025" s="24"/>
      <c r="C1025" s="24"/>
      <c r="D1025" s="24"/>
      <c r="E1025" s="23"/>
      <c r="F1025" s="23"/>
      <c r="G1025" s="23"/>
      <c r="H1025" s="23"/>
      <c r="I1025" s="24"/>
      <c r="J1025" s="24"/>
      <c r="K1025" s="24"/>
      <c r="L1025" s="24"/>
      <c r="M1025" s="23"/>
      <c r="N1025" s="23"/>
      <c r="O1025" s="23"/>
      <c r="P1025" s="23"/>
      <c r="Q1025" s="23"/>
    </row>
    <row r="1026" spans="1:17" ht="12.75" customHeight="1">
      <c r="A1026" s="10"/>
      <c r="B1026" s="11" t="s">
        <v>676</v>
      </c>
      <c r="C1026" s="11"/>
      <c r="D1026" s="11"/>
      <c r="E1026" s="12">
        <f>ROUND(0,2)</f>
        <v>0</v>
      </c>
      <c r="F1026" s="12">
        <f>ROUND(5000,2)</f>
        <v>5000</v>
      </c>
      <c r="G1026" s="12">
        <f>ROUND(5000,2)</f>
        <v>5000</v>
      </c>
      <c r="H1026" s="12">
        <f>ROUND(4162.83,2)</f>
        <v>4162.83</v>
      </c>
      <c r="I1026" s="13">
        <f>ROUND(4162.83,2)</f>
        <v>4162.83</v>
      </c>
      <c r="J1026" s="13"/>
      <c r="K1026" s="13">
        <f>ROUND(4162.83,2)</f>
        <v>4162.83</v>
      </c>
      <c r="L1026" s="13"/>
      <c r="M1026" s="12">
        <f>ROUND(4162.83,2)</f>
        <v>4162.83</v>
      </c>
      <c r="N1026" s="12">
        <f>ROUND(1762.83,2)</f>
        <v>1762.83</v>
      </c>
      <c r="O1026" s="12">
        <f>ROUND(837.17,2)</f>
        <v>837.17</v>
      </c>
      <c r="P1026" s="14">
        <v>16.7434</v>
      </c>
      <c r="Q1026" s="14">
        <v>83.2566</v>
      </c>
    </row>
    <row r="1027" spans="1:17" ht="12.75" customHeight="1">
      <c r="A1027" s="15" t="s">
        <v>677</v>
      </c>
      <c r="B1027" s="15"/>
      <c r="C1027" s="15"/>
      <c r="D1027" s="15"/>
      <c r="E1027" s="16" t="s">
        <v>630</v>
      </c>
      <c r="F1027" s="17">
        <f>ROUND(0,2)</f>
        <v>0</v>
      </c>
      <c r="G1027" s="17">
        <f>ROUND(0,2)</f>
        <v>0</v>
      </c>
      <c r="H1027" s="17">
        <f>ROUND(0,2)</f>
        <v>0</v>
      </c>
      <c r="I1027" s="17">
        <f>ROUND(0,2)</f>
        <v>0</v>
      </c>
      <c r="J1027" s="17"/>
      <c r="K1027" s="17">
        <f>ROUND(0,2)</f>
        <v>0</v>
      </c>
      <c r="L1027" s="17"/>
      <c r="M1027" s="17">
        <f>ROUND(2400,2)</f>
        <v>2400</v>
      </c>
      <c r="N1027" s="17">
        <f>ROUND(0,2)</f>
        <v>0</v>
      </c>
      <c r="O1027" s="17">
        <f>ROUND(837.17,2)</f>
        <v>837.17</v>
      </c>
      <c r="P1027" s="18">
        <v>83.2566</v>
      </c>
      <c r="Q1027" s="18">
        <v>42.34691303752495</v>
      </c>
    </row>
    <row r="1028" spans="1:17" ht="12.75" customHeight="1">
      <c r="A1028" s="19" t="s">
        <v>316</v>
      </c>
      <c r="B1028" s="19"/>
      <c r="C1028" s="19"/>
      <c r="D1028" s="19"/>
      <c r="E1028" s="20">
        <f>SUM('DS1'!$A$269)</f>
        <v>0</v>
      </c>
      <c r="F1028" s="20">
        <v>5000</v>
      </c>
      <c r="G1028" s="20">
        <v>5000</v>
      </c>
      <c r="H1028" s="20">
        <v>4162.83</v>
      </c>
      <c r="I1028" s="21">
        <v>4162.83</v>
      </c>
      <c r="J1028" s="21"/>
      <c r="K1028" s="21">
        <v>4162.83</v>
      </c>
      <c r="L1028" s="21"/>
      <c r="M1028" s="20">
        <v>4162.83</v>
      </c>
      <c r="N1028" s="20">
        <v>1762.83</v>
      </c>
      <c r="O1028" s="20">
        <v>837.17</v>
      </c>
      <c r="P1028" s="22">
        <v>16.7434</v>
      </c>
      <c r="Q1028" s="22">
        <v>83.2566</v>
      </c>
    </row>
    <row r="1029" spans="1:17" ht="12.75" customHeight="1">
      <c r="A1029" s="23"/>
      <c r="B1029" s="24"/>
      <c r="C1029" s="24"/>
      <c r="D1029" s="24"/>
      <c r="E1029" s="23"/>
      <c r="F1029" s="20">
        <v>0</v>
      </c>
      <c r="G1029" s="20">
        <v>0</v>
      </c>
      <c r="H1029" s="20">
        <v>0</v>
      </c>
      <c r="I1029" s="21">
        <v>0</v>
      </c>
      <c r="J1029" s="21"/>
      <c r="K1029" s="21">
        <v>0</v>
      </c>
      <c r="L1029" s="21"/>
      <c r="M1029" s="20">
        <v>2400</v>
      </c>
      <c r="N1029" s="20">
        <v>0</v>
      </c>
      <c r="O1029" s="20">
        <v>837.17</v>
      </c>
      <c r="P1029" s="22">
        <v>83.2566</v>
      </c>
      <c r="Q1029" s="22">
        <v>42.34691303752495</v>
      </c>
    </row>
    <row r="1030" spans="1:17" ht="20.25" customHeight="1">
      <c r="A1030" s="23"/>
      <c r="B1030" s="24"/>
      <c r="C1030" s="24"/>
      <c r="D1030" s="24"/>
      <c r="E1030" s="23"/>
      <c r="F1030" s="23"/>
      <c r="G1030" s="23"/>
      <c r="H1030" s="23"/>
      <c r="I1030" s="24"/>
      <c r="J1030" s="24"/>
      <c r="K1030" s="24"/>
      <c r="L1030" s="24"/>
      <c r="M1030" s="23"/>
      <c r="N1030" s="23"/>
      <c r="O1030" s="23"/>
      <c r="P1030" s="23"/>
      <c r="Q1030" s="23"/>
    </row>
    <row r="1031" spans="1:17" ht="12.75" customHeight="1">
      <c r="A1031" s="10"/>
      <c r="B1031" s="11" t="s">
        <v>678</v>
      </c>
      <c r="C1031" s="11"/>
      <c r="D1031" s="11"/>
      <c r="E1031" s="12">
        <f>ROUND(15000,2)</f>
        <v>15000</v>
      </c>
      <c r="F1031" s="12">
        <f>ROUND(-8031.31,2)</f>
        <v>-8031.31</v>
      </c>
      <c r="G1031" s="12">
        <f>ROUND(6968.69,2)</f>
        <v>6968.69</v>
      </c>
      <c r="H1031" s="12">
        <f>ROUND(5697.75,2)</f>
        <v>5697.75</v>
      </c>
      <c r="I1031" s="13">
        <f aca="true" t="shared" si="577" ref="I1031:I1032">ROUND(5697.75,2)</f>
        <v>5697.75</v>
      </c>
      <c r="J1031" s="13"/>
      <c r="K1031" s="13">
        <f aca="true" t="shared" si="578" ref="K1031:K1032">ROUND(0,2)</f>
        <v>0</v>
      </c>
      <c r="L1031" s="13"/>
      <c r="M1031" s="12">
        <f aca="true" t="shared" si="579" ref="M1031:M1032">ROUND(0,2)</f>
        <v>0</v>
      </c>
      <c r="N1031" s="12">
        <f aca="true" t="shared" si="580" ref="N1031:N1032">ROUND(0,2)</f>
        <v>0</v>
      </c>
      <c r="O1031" s="12">
        <f>ROUND(1270.94,2)</f>
        <v>1270.94</v>
      </c>
      <c r="P1031" s="14">
        <v>18.237861061404654</v>
      </c>
      <c r="Q1031" s="14">
        <v>0</v>
      </c>
    </row>
    <row r="1032" spans="1:17" ht="12.75" customHeight="1">
      <c r="A1032" s="15" t="s">
        <v>679</v>
      </c>
      <c r="B1032" s="15"/>
      <c r="C1032" s="15"/>
      <c r="D1032" s="15"/>
      <c r="E1032" s="16" t="s">
        <v>630</v>
      </c>
      <c r="F1032" s="17">
        <f>ROUND(0,2)</f>
        <v>0</v>
      </c>
      <c r="G1032" s="17">
        <f>ROUND(0,2)</f>
        <v>0</v>
      </c>
      <c r="H1032" s="17">
        <f>ROUND(0,2)</f>
        <v>0</v>
      </c>
      <c r="I1032" s="17">
        <f t="shared" si="577"/>
        <v>5697.75</v>
      </c>
      <c r="J1032" s="17"/>
      <c r="K1032" s="17">
        <f t="shared" si="578"/>
        <v>0</v>
      </c>
      <c r="L1032" s="17"/>
      <c r="M1032" s="17">
        <f t="shared" si="579"/>
        <v>0</v>
      </c>
      <c r="N1032" s="17">
        <f t="shared" si="580"/>
        <v>0</v>
      </c>
      <c r="O1032" s="17">
        <f>ROUND(6968.69,2)</f>
        <v>6968.69</v>
      </c>
      <c r="P1032" s="18">
        <v>37.985</v>
      </c>
      <c r="Q1032" s="18">
        <v>0</v>
      </c>
    </row>
    <row r="1033" spans="1:17" ht="12.75" customHeight="1">
      <c r="A1033" s="19" t="s">
        <v>680</v>
      </c>
      <c r="B1033" s="19"/>
      <c r="C1033" s="19"/>
      <c r="D1033" s="19"/>
      <c r="E1033" s="20">
        <f>SUM('DS1'!$A$270)</f>
        <v>15000</v>
      </c>
      <c r="F1033" s="20">
        <v>-8031.31</v>
      </c>
      <c r="G1033" s="20">
        <v>6968.69</v>
      </c>
      <c r="H1033" s="20">
        <v>5697.75</v>
      </c>
      <c r="I1033" s="21">
        <v>5697.75</v>
      </c>
      <c r="J1033" s="21"/>
      <c r="K1033" s="21">
        <v>0</v>
      </c>
      <c r="L1033" s="21"/>
      <c r="M1033" s="20">
        <v>0</v>
      </c>
      <c r="N1033" s="20">
        <v>0</v>
      </c>
      <c r="O1033" s="20">
        <v>1270.94</v>
      </c>
      <c r="P1033" s="22">
        <v>18.237861061404654</v>
      </c>
      <c r="Q1033" s="22">
        <v>0</v>
      </c>
    </row>
    <row r="1034" spans="1:17" ht="12.75" customHeight="1">
      <c r="A1034" s="23"/>
      <c r="B1034" s="24"/>
      <c r="C1034" s="24"/>
      <c r="D1034" s="24"/>
      <c r="E1034" s="23"/>
      <c r="F1034" s="20">
        <v>0</v>
      </c>
      <c r="G1034" s="20">
        <v>0</v>
      </c>
      <c r="H1034" s="20">
        <v>0</v>
      </c>
      <c r="I1034" s="21">
        <v>5697.75</v>
      </c>
      <c r="J1034" s="21"/>
      <c r="K1034" s="21">
        <v>0</v>
      </c>
      <c r="L1034" s="21"/>
      <c r="M1034" s="20">
        <v>0</v>
      </c>
      <c r="N1034" s="20">
        <v>0</v>
      </c>
      <c r="O1034" s="20">
        <v>6968.69</v>
      </c>
      <c r="P1034" s="22">
        <v>81.76213893859536</v>
      </c>
      <c r="Q1034" s="22">
        <v>0</v>
      </c>
    </row>
    <row r="1035" spans="1:17" ht="20.25" customHeight="1">
      <c r="A1035" s="23"/>
      <c r="B1035" s="24"/>
      <c r="C1035" s="24"/>
      <c r="D1035" s="24"/>
      <c r="E1035" s="23"/>
      <c r="F1035" s="23"/>
      <c r="G1035" s="23"/>
      <c r="H1035" s="23"/>
      <c r="I1035" s="24"/>
      <c r="J1035" s="24"/>
      <c r="K1035" s="24"/>
      <c r="L1035" s="24"/>
      <c r="M1035" s="23"/>
      <c r="N1035" s="23"/>
      <c r="O1035" s="23"/>
      <c r="P1035" s="23"/>
      <c r="Q1035" s="23"/>
    </row>
    <row r="1036" spans="1:17" ht="12.75" customHeight="1">
      <c r="A1036" s="10"/>
      <c r="B1036" s="11" t="s">
        <v>681</v>
      </c>
      <c r="C1036" s="11"/>
      <c r="D1036" s="11"/>
      <c r="E1036" s="12">
        <f>ROUND(33000,2)</f>
        <v>33000</v>
      </c>
      <c r="F1036" s="12">
        <f>ROUND(8031.31,2)</f>
        <v>8031.31</v>
      </c>
      <c r="G1036" s="12">
        <f>ROUND(41031.31,2)</f>
        <v>41031.31</v>
      </c>
      <c r="H1036" s="12">
        <f>ROUND(36499.95,2)</f>
        <v>36499.95</v>
      </c>
      <c r="I1036" s="13">
        <f aca="true" t="shared" si="581" ref="I1036:I1037">ROUND(36499.95,2)</f>
        <v>36499.95</v>
      </c>
      <c r="J1036" s="13"/>
      <c r="K1036" s="13">
        <f aca="true" t="shared" si="582" ref="K1036:K1037">ROUND(0,2)</f>
        <v>0</v>
      </c>
      <c r="L1036" s="13"/>
      <c r="M1036" s="12">
        <f aca="true" t="shared" si="583" ref="M1036:M1037">ROUND(0,2)</f>
        <v>0</v>
      </c>
      <c r="N1036" s="12">
        <f aca="true" t="shared" si="584" ref="N1036:N1037">ROUND(0,2)</f>
        <v>0</v>
      </c>
      <c r="O1036" s="12">
        <f>ROUND(4531.36,2)</f>
        <v>4531.36</v>
      </c>
      <c r="P1036" s="14">
        <v>11.043663972707671</v>
      </c>
      <c r="Q1036" s="14">
        <v>0</v>
      </c>
    </row>
    <row r="1037" spans="1:17" ht="12.75" customHeight="1">
      <c r="A1037" s="15" t="s">
        <v>682</v>
      </c>
      <c r="B1037" s="15"/>
      <c r="C1037" s="15"/>
      <c r="D1037" s="15"/>
      <c r="E1037" s="16" t="s">
        <v>683</v>
      </c>
      <c r="F1037" s="17">
        <f aca="true" t="shared" si="585" ref="F1037:F1039">ROUND(0,2)</f>
        <v>0</v>
      </c>
      <c r="G1037" s="17">
        <f>ROUND(0,2)</f>
        <v>0</v>
      </c>
      <c r="H1037" s="17">
        <f>ROUND(0,2)</f>
        <v>0</v>
      </c>
      <c r="I1037" s="17">
        <f t="shared" si="581"/>
        <v>36499.95</v>
      </c>
      <c r="J1037" s="17"/>
      <c r="K1037" s="17">
        <f t="shared" si="582"/>
        <v>0</v>
      </c>
      <c r="L1037" s="17"/>
      <c r="M1037" s="17">
        <f t="shared" si="583"/>
        <v>0</v>
      </c>
      <c r="N1037" s="17">
        <f t="shared" si="584"/>
        <v>0</v>
      </c>
      <c r="O1037" s="17">
        <f>ROUND(41031.31,2)</f>
        <v>41031.31</v>
      </c>
      <c r="P1037" s="18">
        <v>88.95633602729232</v>
      </c>
      <c r="Q1037" s="18">
        <v>0</v>
      </c>
    </row>
    <row r="1038" spans="1:17" ht="12.75" customHeight="1">
      <c r="A1038" s="10"/>
      <c r="B1038" s="11" t="s">
        <v>684</v>
      </c>
      <c r="C1038" s="11"/>
      <c r="D1038" s="11"/>
      <c r="E1038" s="12">
        <f>ROUND(1028879.02,2)</f>
        <v>1028879.02</v>
      </c>
      <c r="F1038" s="12">
        <f t="shared" si="585"/>
        <v>0</v>
      </c>
      <c r="G1038" s="12">
        <f>ROUND(1028879.02,2)</f>
        <v>1028879.02</v>
      </c>
      <c r="H1038" s="12">
        <f>ROUND(1003528.08,2)</f>
        <v>1003528.08</v>
      </c>
      <c r="I1038" s="13">
        <f>ROUND(1003528.08,2)</f>
        <v>1003528.08</v>
      </c>
      <c r="J1038" s="13"/>
      <c r="K1038" s="13">
        <f>ROUND(689247.49,2)</f>
        <v>689247.49</v>
      </c>
      <c r="L1038" s="13"/>
      <c r="M1038" s="12">
        <f>ROUND(689247.49,2)</f>
        <v>689247.49</v>
      </c>
      <c r="N1038" s="12">
        <f>ROUND(689247.49,2)</f>
        <v>689247.49</v>
      </c>
      <c r="O1038" s="12">
        <f>ROUND(25350.94,2)</f>
        <v>25350.94</v>
      </c>
      <c r="P1038" s="14">
        <v>2.4639378884409555</v>
      </c>
      <c r="Q1038" s="14">
        <v>66.99013942377793</v>
      </c>
    </row>
    <row r="1039" spans="1:17" ht="12.75" customHeight="1">
      <c r="A1039" s="15" t="s">
        <v>685</v>
      </c>
      <c r="B1039" s="15"/>
      <c r="C1039" s="15"/>
      <c r="D1039" s="15"/>
      <c r="E1039" s="16" t="s">
        <v>683</v>
      </c>
      <c r="F1039" s="17">
        <f t="shared" si="585"/>
        <v>0</v>
      </c>
      <c r="G1039" s="17">
        <f>ROUND(0,2)</f>
        <v>0</v>
      </c>
      <c r="H1039" s="17">
        <f>ROUND(0,2)</f>
        <v>0</v>
      </c>
      <c r="I1039" s="17">
        <f>ROUND(314280.59,2)</f>
        <v>314280.59</v>
      </c>
      <c r="J1039" s="17"/>
      <c r="K1039" s="17">
        <f>ROUND(0,2)</f>
        <v>0</v>
      </c>
      <c r="L1039" s="17"/>
      <c r="M1039" s="17">
        <f>ROUND(0,2)</f>
        <v>0</v>
      </c>
      <c r="N1039" s="17">
        <f>ROUND(0,2)</f>
        <v>0</v>
      </c>
      <c r="O1039" s="17">
        <f>ROUND(339631.53,2)</f>
        <v>339631.53</v>
      </c>
      <c r="P1039" s="18">
        <v>97.53606211155905</v>
      </c>
      <c r="Q1039" s="18">
        <v>100</v>
      </c>
    </row>
    <row r="1040" spans="1:17" ht="12.75" customHeight="1">
      <c r="A1040" s="10" t="s">
        <v>83</v>
      </c>
      <c r="B1040" s="11" t="s">
        <v>686</v>
      </c>
      <c r="C1040" s="11"/>
      <c r="D1040" s="11"/>
      <c r="E1040" s="12">
        <f>ROUND(0,2)</f>
        <v>0</v>
      </c>
      <c r="F1040" s="12">
        <f aca="true" t="shared" si="586" ref="F1040:F1041">ROUND(13693.59,2)</f>
        <v>13693.59</v>
      </c>
      <c r="G1040" s="12">
        <f>ROUND(13693.59,2)</f>
        <v>13693.59</v>
      </c>
      <c r="H1040" s="12">
        <f>ROUND(13693.42,2)</f>
        <v>13693.42</v>
      </c>
      <c r="I1040" s="13">
        <f>ROUND(13693.42,2)</f>
        <v>13693.42</v>
      </c>
      <c r="J1040" s="13"/>
      <c r="K1040" s="13">
        <f>ROUND(13693.42,2)</f>
        <v>13693.42</v>
      </c>
      <c r="L1040" s="13"/>
      <c r="M1040" s="12">
        <f>ROUND(13693.42,2)</f>
        <v>13693.42</v>
      </c>
      <c r="N1040" s="12">
        <f>ROUND(13693.42,2)</f>
        <v>13693.42</v>
      </c>
      <c r="O1040" s="12">
        <f>ROUND(0.17,2)</f>
        <v>0.17</v>
      </c>
      <c r="P1040" s="14">
        <v>0.0012414567691890878</v>
      </c>
      <c r="Q1040" s="14">
        <v>99.99875854323082</v>
      </c>
    </row>
    <row r="1041" spans="1:17" ht="12.75" customHeight="1">
      <c r="A1041" s="15" t="s">
        <v>687</v>
      </c>
      <c r="B1041" s="15"/>
      <c r="C1041" s="15"/>
      <c r="D1041" s="15"/>
      <c r="E1041" s="16" t="s">
        <v>688</v>
      </c>
      <c r="F1041" s="17">
        <f t="shared" si="586"/>
        <v>13693.59</v>
      </c>
      <c r="G1041" s="17">
        <f>ROUND(0,2)</f>
        <v>0</v>
      </c>
      <c r="H1041" s="17">
        <f>ROUND(0,2)</f>
        <v>0</v>
      </c>
      <c r="I1041" s="17">
        <f>ROUND(0,2)</f>
        <v>0</v>
      </c>
      <c r="J1041" s="17"/>
      <c r="K1041" s="17">
        <f>ROUND(0,2)</f>
        <v>0</v>
      </c>
      <c r="L1041" s="17"/>
      <c r="M1041" s="17">
        <f>ROUND(0,2)</f>
        <v>0</v>
      </c>
      <c r="N1041" s="17">
        <f>ROUND(0,2)</f>
        <v>0</v>
      </c>
      <c r="O1041" s="17">
        <f>ROUND(0.170000000000073,2)</f>
        <v>0.17</v>
      </c>
      <c r="P1041" s="18">
        <v>99.99875854323082</v>
      </c>
      <c r="Q1041" s="18">
        <v>100</v>
      </c>
    </row>
    <row r="1042" spans="1:17" ht="12.75" customHeight="1">
      <c r="A1042" s="19" t="s">
        <v>286</v>
      </c>
      <c r="B1042" s="19"/>
      <c r="C1042" s="19"/>
      <c r="D1042" s="19"/>
      <c r="E1042" s="20">
        <f>SUM('DS1'!$A$271:$A$273)</f>
        <v>1061879.02</v>
      </c>
      <c r="F1042" s="20">
        <v>21724.9</v>
      </c>
      <c r="G1042" s="20">
        <v>1083603.9200000002</v>
      </c>
      <c r="H1042" s="20">
        <v>1053721.45</v>
      </c>
      <c r="I1042" s="21">
        <v>1053721.45</v>
      </c>
      <c r="J1042" s="21"/>
      <c r="K1042" s="21">
        <v>702940.91</v>
      </c>
      <c r="L1042" s="21"/>
      <c r="M1042" s="20">
        <v>702940.91</v>
      </c>
      <c r="N1042" s="20">
        <v>702940.91</v>
      </c>
      <c r="O1042" s="20">
        <v>29882.47</v>
      </c>
      <c r="P1042" s="22">
        <v>2.7576930507966413</v>
      </c>
      <c r="Q1042" s="22">
        <v>64.87065033873262</v>
      </c>
    </row>
    <row r="1043" spans="1:17" ht="12.75" customHeight="1">
      <c r="A1043" s="23"/>
      <c r="B1043" s="24"/>
      <c r="C1043" s="24"/>
      <c r="D1043" s="24"/>
      <c r="E1043" s="23"/>
      <c r="F1043" s="20">
        <v>13693.59</v>
      </c>
      <c r="G1043" s="20">
        <v>0</v>
      </c>
      <c r="H1043" s="20">
        <v>0</v>
      </c>
      <c r="I1043" s="21">
        <v>350780.54</v>
      </c>
      <c r="J1043" s="21"/>
      <c r="K1043" s="21">
        <v>0</v>
      </c>
      <c r="L1043" s="21"/>
      <c r="M1043" s="20">
        <v>0</v>
      </c>
      <c r="N1043" s="20">
        <v>0</v>
      </c>
      <c r="O1043" s="20">
        <v>380663.01</v>
      </c>
      <c r="P1043" s="22">
        <v>97.24230694920334</v>
      </c>
      <c r="Q1043" s="22">
        <v>100</v>
      </c>
    </row>
    <row r="1044" spans="1:17" ht="20.25" customHeight="1">
      <c r="A1044" s="23"/>
      <c r="B1044" s="24"/>
      <c r="C1044" s="24"/>
      <c r="D1044" s="24"/>
      <c r="E1044" s="23"/>
      <c r="F1044" s="23"/>
      <c r="G1044" s="23"/>
      <c r="H1044" s="23"/>
      <c r="I1044" s="24"/>
      <c r="J1044" s="24"/>
      <c r="K1044" s="24"/>
      <c r="L1044" s="24"/>
      <c r="M1044" s="23"/>
      <c r="N1044" s="23"/>
      <c r="O1044" s="23"/>
      <c r="P1044" s="23"/>
      <c r="Q1044" s="23"/>
    </row>
    <row r="1045" spans="1:17" ht="12.75" customHeight="1">
      <c r="A1045" s="10"/>
      <c r="B1045" s="11" t="s">
        <v>689</v>
      </c>
      <c r="C1045" s="11"/>
      <c r="D1045" s="11"/>
      <c r="E1045" s="12">
        <f>ROUND(5000,2)</f>
        <v>5000</v>
      </c>
      <c r="F1045" s="12">
        <f>ROUND(-5000,2)</f>
        <v>-5000</v>
      </c>
      <c r="G1045" s="12">
        <f aca="true" t="shared" si="587" ref="G1045:G1046">ROUND(0,2)</f>
        <v>0</v>
      </c>
      <c r="H1045" s="12">
        <f aca="true" t="shared" si="588" ref="H1045:H1046">ROUND(0,2)</f>
        <v>0</v>
      </c>
      <c r="I1045" s="13">
        <f aca="true" t="shared" si="589" ref="I1045:I1046">ROUND(0,2)</f>
        <v>0</v>
      </c>
      <c r="J1045" s="13"/>
      <c r="K1045" s="13">
        <f aca="true" t="shared" si="590" ref="K1045:K1046">ROUND(0,2)</f>
        <v>0</v>
      </c>
      <c r="L1045" s="13"/>
      <c r="M1045" s="12">
        <f aca="true" t="shared" si="591" ref="M1045:M1046">ROUND(0,2)</f>
        <v>0</v>
      </c>
      <c r="N1045" s="12">
        <f aca="true" t="shared" si="592" ref="N1045:N1046">ROUND(0,2)</f>
        <v>0</v>
      </c>
      <c r="O1045" s="12">
        <f aca="true" t="shared" si="593" ref="O1045:O1048">ROUND(0,2)</f>
        <v>0</v>
      </c>
      <c r="P1045" s="14">
        <v>0</v>
      </c>
      <c r="Q1045" s="14">
        <v>0</v>
      </c>
    </row>
    <row r="1046" spans="1:17" ht="12.75" customHeight="1">
      <c r="A1046" s="15" t="s">
        <v>690</v>
      </c>
      <c r="B1046" s="15"/>
      <c r="C1046" s="15"/>
      <c r="D1046" s="15"/>
      <c r="E1046" s="16" t="s">
        <v>683</v>
      </c>
      <c r="F1046" s="17">
        <f>ROUND(0,2)</f>
        <v>0</v>
      </c>
      <c r="G1046" s="17">
        <f t="shared" si="587"/>
        <v>0</v>
      </c>
      <c r="H1046" s="17">
        <f t="shared" si="588"/>
        <v>0</v>
      </c>
      <c r="I1046" s="17">
        <f t="shared" si="589"/>
        <v>0</v>
      </c>
      <c r="J1046" s="17"/>
      <c r="K1046" s="17">
        <f t="shared" si="590"/>
        <v>0</v>
      </c>
      <c r="L1046" s="17"/>
      <c r="M1046" s="17">
        <f t="shared" si="591"/>
        <v>0</v>
      </c>
      <c r="N1046" s="17">
        <f t="shared" si="592"/>
        <v>0</v>
      </c>
      <c r="O1046" s="17">
        <f t="shared" si="593"/>
        <v>0</v>
      </c>
      <c r="P1046" s="18">
        <v>0</v>
      </c>
      <c r="Q1046" s="18">
        <v>0</v>
      </c>
    </row>
    <row r="1047" spans="1:17" ht="12.75" customHeight="1">
      <c r="A1047" s="10" t="s">
        <v>83</v>
      </c>
      <c r="B1047" s="11" t="s">
        <v>691</v>
      </c>
      <c r="C1047" s="11"/>
      <c r="D1047" s="11"/>
      <c r="E1047" s="12">
        <f>ROUND(0,2)</f>
        <v>0</v>
      </c>
      <c r="F1047" s="12">
        <f aca="true" t="shared" si="594" ref="F1047:F1048">ROUND(2157.12,2)</f>
        <v>2157.12</v>
      </c>
      <c r="G1047" s="12">
        <f>ROUND(2157.12,2)</f>
        <v>2157.12</v>
      </c>
      <c r="H1047" s="12">
        <f>ROUND(2157.12,2)</f>
        <v>2157.12</v>
      </c>
      <c r="I1047" s="13">
        <f>ROUND(2157.12,2)</f>
        <v>2157.12</v>
      </c>
      <c r="J1047" s="13"/>
      <c r="K1047" s="13">
        <f>ROUND(2157.12,2)</f>
        <v>2157.12</v>
      </c>
      <c r="L1047" s="13"/>
      <c r="M1047" s="12">
        <f>ROUND(2157.12,2)</f>
        <v>2157.12</v>
      </c>
      <c r="N1047" s="12">
        <f>ROUND(2157.12,2)</f>
        <v>2157.12</v>
      </c>
      <c r="O1047" s="12">
        <f t="shared" si="593"/>
        <v>0</v>
      </c>
      <c r="P1047" s="14">
        <v>0</v>
      </c>
      <c r="Q1047" s="14">
        <v>100</v>
      </c>
    </row>
    <row r="1048" spans="1:17" ht="12.75" customHeight="1">
      <c r="A1048" s="15" t="s">
        <v>692</v>
      </c>
      <c r="B1048" s="15"/>
      <c r="C1048" s="15"/>
      <c r="D1048" s="15"/>
      <c r="E1048" s="16" t="s">
        <v>693</v>
      </c>
      <c r="F1048" s="17">
        <f t="shared" si="594"/>
        <v>2157.12</v>
      </c>
      <c r="G1048" s="17">
        <f>ROUND(0,2)</f>
        <v>0</v>
      </c>
      <c r="H1048" s="17">
        <f>ROUND(0,2)</f>
        <v>0</v>
      </c>
      <c r="I1048" s="17">
        <f>ROUND(0,2)</f>
        <v>0</v>
      </c>
      <c r="J1048" s="17"/>
      <c r="K1048" s="17">
        <f>ROUND(0,2)</f>
        <v>0</v>
      </c>
      <c r="L1048" s="17"/>
      <c r="M1048" s="17">
        <f>ROUND(0,2)</f>
        <v>0</v>
      </c>
      <c r="N1048" s="17">
        <f>ROUND(0,2)</f>
        <v>0</v>
      </c>
      <c r="O1048" s="17">
        <f t="shared" si="593"/>
        <v>0</v>
      </c>
      <c r="P1048" s="18">
        <v>100</v>
      </c>
      <c r="Q1048" s="18">
        <v>100</v>
      </c>
    </row>
    <row r="1049" spans="1:17" ht="12.75" customHeight="1">
      <c r="A1049" s="19" t="s">
        <v>694</v>
      </c>
      <c r="B1049" s="19"/>
      <c r="C1049" s="19"/>
      <c r="D1049" s="19"/>
      <c r="E1049" s="20">
        <f>SUM('DS1'!$A$274:$A$275)</f>
        <v>5000</v>
      </c>
      <c r="F1049" s="20">
        <v>-2842.88</v>
      </c>
      <c r="G1049" s="20">
        <v>2157.12</v>
      </c>
      <c r="H1049" s="20">
        <v>2157.12</v>
      </c>
      <c r="I1049" s="21">
        <v>2157.12</v>
      </c>
      <c r="J1049" s="21"/>
      <c r="K1049" s="21">
        <v>2157.12</v>
      </c>
      <c r="L1049" s="21"/>
      <c r="M1049" s="20">
        <v>2157.12</v>
      </c>
      <c r="N1049" s="20">
        <v>2157.12</v>
      </c>
      <c r="O1049" s="20">
        <v>0</v>
      </c>
      <c r="P1049" s="22">
        <v>0</v>
      </c>
      <c r="Q1049" s="22">
        <v>100</v>
      </c>
    </row>
    <row r="1050" spans="1:17" ht="12.75" customHeight="1">
      <c r="A1050" s="23"/>
      <c r="B1050" s="24"/>
      <c r="C1050" s="24"/>
      <c r="D1050" s="24"/>
      <c r="E1050" s="23"/>
      <c r="F1050" s="20">
        <v>2157.12</v>
      </c>
      <c r="G1050" s="20">
        <v>0</v>
      </c>
      <c r="H1050" s="20">
        <v>0</v>
      </c>
      <c r="I1050" s="21">
        <v>0</v>
      </c>
      <c r="J1050" s="21"/>
      <c r="K1050" s="21">
        <v>0</v>
      </c>
      <c r="L1050" s="21"/>
      <c r="M1050" s="20">
        <v>0</v>
      </c>
      <c r="N1050" s="20">
        <v>0</v>
      </c>
      <c r="O1050" s="20">
        <v>0</v>
      </c>
      <c r="P1050" s="22">
        <v>100</v>
      </c>
      <c r="Q1050" s="22">
        <v>100</v>
      </c>
    </row>
    <row r="1051" spans="1:17" ht="20.25" customHeight="1">
      <c r="A1051" s="23"/>
      <c r="B1051" s="24"/>
      <c r="C1051" s="24"/>
      <c r="D1051" s="24"/>
      <c r="E1051" s="23"/>
      <c r="F1051" s="23"/>
      <c r="G1051" s="23"/>
      <c r="H1051" s="23"/>
      <c r="I1051" s="24"/>
      <c r="J1051" s="24"/>
      <c r="K1051" s="24"/>
      <c r="L1051" s="24"/>
      <c r="M1051" s="23"/>
      <c r="N1051" s="23"/>
      <c r="O1051" s="23"/>
      <c r="P1051" s="23"/>
      <c r="Q1051" s="23"/>
    </row>
    <row r="1052" spans="1:17" ht="12.75" customHeight="1">
      <c r="A1052" s="19" t="s">
        <v>695</v>
      </c>
      <c r="B1052" s="19"/>
      <c r="C1052" s="19"/>
      <c r="D1052" s="19"/>
      <c r="E1052" s="20">
        <f>SUM('DS1'!$A$252:$A$275)</f>
        <v>1661808.73</v>
      </c>
      <c r="F1052" s="20">
        <v>17669.87</v>
      </c>
      <c r="G1052" s="20">
        <v>1679478.6</v>
      </c>
      <c r="H1052" s="20">
        <v>1510642.66</v>
      </c>
      <c r="I1052" s="21">
        <v>1510642.66</v>
      </c>
      <c r="J1052" s="21"/>
      <c r="K1052" s="21">
        <v>1135409.15</v>
      </c>
      <c r="L1052" s="21"/>
      <c r="M1052" s="20">
        <v>1135409.15</v>
      </c>
      <c r="N1052" s="20">
        <v>1100195.82</v>
      </c>
      <c r="O1052" s="20">
        <v>156323.54</v>
      </c>
      <c r="P1052" s="22">
        <v>9.307861380311722</v>
      </c>
      <c r="Q1052" s="22">
        <v>67.60485962726764</v>
      </c>
    </row>
    <row r="1053" spans="1:17" ht="12.75" customHeight="1">
      <c r="A1053" s="23"/>
      <c r="B1053" s="24"/>
      <c r="C1053" s="24"/>
      <c r="D1053" s="24"/>
      <c r="E1053" s="23"/>
      <c r="F1053" s="20">
        <v>15850.71</v>
      </c>
      <c r="G1053" s="20">
        <v>12512.400000000001</v>
      </c>
      <c r="H1053" s="20">
        <v>0</v>
      </c>
      <c r="I1053" s="21">
        <v>375233.50999999995</v>
      </c>
      <c r="J1053" s="21"/>
      <c r="K1053" s="21">
        <v>0</v>
      </c>
      <c r="L1053" s="21"/>
      <c r="M1053" s="20">
        <v>35213.330000000016</v>
      </c>
      <c r="N1053" s="20">
        <v>0</v>
      </c>
      <c r="O1053" s="20">
        <v>544069.4500000001</v>
      </c>
      <c r="P1053" s="22">
        <v>89.94712168407504</v>
      </c>
      <c r="Q1053" s="22">
        <v>96.8986219637212</v>
      </c>
    </row>
    <row r="1054" spans="1:17" ht="18" customHeight="1">
      <c r="A1054" s="23"/>
      <c r="B1054" s="24"/>
      <c r="C1054" s="24"/>
      <c r="D1054" s="24"/>
      <c r="E1054" s="23"/>
      <c r="F1054" s="23"/>
      <c r="G1054" s="23"/>
      <c r="H1054" s="23"/>
      <c r="I1054" s="24"/>
      <c r="J1054" s="24"/>
      <c r="K1054" s="24"/>
      <c r="L1054" s="24"/>
      <c r="M1054" s="23"/>
      <c r="N1054" s="23"/>
      <c r="O1054" s="23"/>
      <c r="P1054" s="23"/>
      <c r="Q1054" s="23"/>
    </row>
    <row r="1055" spans="1:17" ht="12.75" customHeight="1">
      <c r="A1055" s="10"/>
      <c r="B1055" s="11" t="s">
        <v>696</v>
      </c>
      <c r="C1055" s="11"/>
      <c r="D1055" s="11"/>
      <c r="E1055" s="12">
        <f>ROUND(32381.72,2)</f>
        <v>32381.72</v>
      </c>
      <c r="F1055" s="12">
        <f>ROUND(291.44,2)</f>
        <v>291.44</v>
      </c>
      <c r="G1055" s="12">
        <f>ROUND(32673.16,2)</f>
        <v>32673.16</v>
      </c>
      <c r="H1055" s="12">
        <f>ROUND(20196.51,2)</f>
        <v>20196.51</v>
      </c>
      <c r="I1055" s="13">
        <f>ROUND(20196.51,2)</f>
        <v>20196.51</v>
      </c>
      <c r="J1055" s="13"/>
      <c r="K1055" s="13">
        <f>ROUND(20196.51,2)</f>
        <v>20196.51</v>
      </c>
      <c r="L1055" s="13"/>
      <c r="M1055" s="12">
        <f>ROUND(20196.51,2)</f>
        <v>20196.51</v>
      </c>
      <c r="N1055" s="12">
        <f>ROUND(20196.51,2)</f>
        <v>20196.51</v>
      </c>
      <c r="O1055" s="12">
        <f aca="true" t="shared" si="595" ref="O1055:O1056">ROUND(12476.65,2)</f>
        <v>12476.65</v>
      </c>
      <c r="P1055" s="14">
        <v>38.18623604206021</v>
      </c>
      <c r="Q1055" s="14">
        <v>61.813763957939784</v>
      </c>
    </row>
    <row r="1056" spans="1:17" ht="12.75" customHeight="1">
      <c r="A1056" s="15" t="s">
        <v>697</v>
      </c>
      <c r="B1056" s="15"/>
      <c r="C1056" s="15"/>
      <c r="D1056" s="15"/>
      <c r="E1056" s="16" t="s">
        <v>572</v>
      </c>
      <c r="F1056" s="17">
        <f>ROUND(0,2)</f>
        <v>0</v>
      </c>
      <c r="G1056" s="17">
        <f>ROUND(0,2)</f>
        <v>0</v>
      </c>
      <c r="H1056" s="17">
        <f>ROUND(0,2)</f>
        <v>0</v>
      </c>
      <c r="I1056" s="17">
        <f>ROUND(0,2)</f>
        <v>0</v>
      </c>
      <c r="J1056" s="17"/>
      <c r="K1056" s="17">
        <f>ROUND(0,2)</f>
        <v>0</v>
      </c>
      <c r="L1056" s="17"/>
      <c r="M1056" s="17">
        <f>ROUND(0,2)</f>
        <v>0</v>
      </c>
      <c r="N1056" s="17">
        <f>ROUND(0,2)</f>
        <v>0</v>
      </c>
      <c r="O1056" s="17">
        <f t="shared" si="595"/>
        <v>12476.65</v>
      </c>
      <c r="P1056" s="18">
        <v>61.813763957939784</v>
      </c>
      <c r="Q1056" s="18">
        <v>100</v>
      </c>
    </row>
    <row r="1057" spans="1:17" ht="12.75" customHeight="1">
      <c r="A1057" s="19" t="s">
        <v>161</v>
      </c>
      <c r="B1057" s="19"/>
      <c r="C1057" s="19"/>
      <c r="D1057" s="19"/>
      <c r="E1057" s="20">
        <f>SUM('DS1'!$A$276)</f>
        <v>32381.72</v>
      </c>
      <c r="F1057" s="20">
        <v>291.44</v>
      </c>
      <c r="G1057" s="20">
        <v>32673.16</v>
      </c>
      <c r="H1057" s="20">
        <v>20196.51</v>
      </c>
      <c r="I1057" s="21">
        <v>20196.51</v>
      </c>
      <c r="J1057" s="21"/>
      <c r="K1057" s="21">
        <v>20196.51</v>
      </c>
      <c r="L1057" s="21"/>
      <c r="M1057" s="20">
        <v>20196.51</v>
      </c>
      <c r="N1057" s="20">
        <v>20196.51</v>
      </c>
      <c r="O1057" s="20">
        <v>12476.65</v>
      </c>
      <c r="P1057" s="22">
        <v>38.18623604206021</v>
      </c>
      <c r="Q1057" s="22">
        <v>61.813763957939784</v>
      </c>
    </row>
    <row r="1058" spans="1:17" ht="12.75" customHeight="1">
      <c r="A1058" s="23"/>
      <c r="B1058" s="24"/>
      <c r="C1058" s="24"/>
      <c r="D1058" s="24"/>
      <c r="E1058" s="23"/>
      <c r="F1058" s="20">
        <v>0</v>
      </c>
      <c r="G1058" s="20">
        <v>0</v>
      </c>
      <c r="H1058" s="20">
        <v>0</v>
      </c>
      <c r="I1058" s="21">
        <v>0</v>
      </c>
      <c r="J1058" s="21"/>
      <c r="K1058" s="21">
        <v>0</v>
      </c>
      <c r="L1058" s="21"/>
      <c r="M1058" s="20">
        <v>0</v>
      </c>
      <c r="N1058" s="20">
        <v>0</v>
      </c>
      <c r="O1058" s="20">
        <v>12476.650000000001</v>
      </c>
      <c r="P1058" s="22">
        <v>61.813763957939784</v>
      </c>
      <c r="Q1058" s="22">
        <v>100</v>
      </c>
    </row>
    <row r="1059" spans="1:17" ht="20.25" customHeight="1">
      <c r="A1059" s="23"/>
      <c r="B1059" s="24"/>
      <c r="C1059" s="24"/>
      <c r="D1059" s="24"/>
      <c r="E1059" s="23"/>
      <c r="F1059" s="23"/>
      <c r="G1059" s="23"/>
      <c r="H1059" s="23"/>
      <c r="I1059" s="24"/>
      <c r="J1059" s="24"/>
      <c r="K1059" s="24"/>
      <c r="L1059" s="24"/>
      <c r="M1059" s="23"/>
      <c r="N1059" s="23"/>
      <c r="O1059" s="23"/>
      <c r="P1059" s="23"/>
      <c r="Q1059" s="23"/>
    </row>
    <row r="1060" spans="1:17" ht="12.75" customHeight="1">
      <c r="A1060" s="10"/>
      <c r="B1060" s="11" t="s">
        <v>698</v>
      </c>
      <c r="C1060" s="11"/>
      <c r="D1060" s="11"/>
      <c r="E1060" s="12">
        <f>ROUND(466325.37,2)</f>
        <v>466325.37</v>
      </c>
      <c r="F1060" s="12">
        <f>ROUND(4196.93,2)</f>
        <v>4196.93</v>
      </c>
      <c r="G1060" s="12">
        <f>ROUND(470522.3,2)</f>
        <v>470522.3</v>
      </c>
      <c r="H1060" s="12">
        <f>ROUND(415405.91,2)</f>
        <v>415405.91</v>
      </c>
      <c r="I1060" s="13">
        <f>ROUND(415405.91,2)</f>
        <v>415405.91</v>
      </c>
      <c r="J1060" s="13"/>
      <c r="K1060" s="13">
        <f>ROUND(415405.91,2)</f>
        <v>415405.91</v>
      </c>
      <c r="L1060" s="13"/>
      <c r="M1060" s="12">
        <f>ROUND(415405.91,2)</f>
        <v>415405.91</v>
      </c>
      <c r="N1060" s="12">
        <f>ROUND(415405.91,2)</f>
        <v>415405.91</v>
      </c>
      <c r="O1060" s="12">
        <f>ROUND(55116.39,2)</f>
        <v>55116.39</v>
      </c>
      <c r="P1060" s="14">
        <v>11.713874135189768</v>
      </c>
      <c r="Q1060" s="14">
        <v>88.28612586481023</v>
      </c>
    </row>
    <row r="1061" spans="1:17" ht="12.75" customHeight="1">
      <c r="A1061" s="15" t="s">
        <v>699</v>
      </c>
      <c r="B1061" s="15"/>
      <c r="C1061" s="15"/>
      <c r="D1061" s="15"/>
      <c r="E1061" s="16" t="s">
        <v>572</v>
      </c>
      <c r="F1061" s="17">
        <f>ROUND(0,2)</f>
        <v>0</v>
      </c>
      <c r="G1061" s="17">
        <f>ROUND(0,2)</f>
        <v>0</v>
      </c>
      <c r="H1061" s="17">
        <f>ROUND(0,2)</f>
        <v>0</v>
      </c>
      <c r="I1061" s="17">
        <f>ROUND(0,2)</f>
        <v>0</v>
      </c>
      <c r="J1061" s="17"/>
      <c r="K1061" s="17">
        <f>ROUND(0,2)</f>
        <v>0</v>
      </c>
      <c r="L1061" s="17"/>
      <c r="M1061" s="17">
        <f>ROUND(0,2)</f>
        <v>0</v>
      </c>
      <c r="N1061" s="17">
        <f>ROUND(0,2)</f>
        <v>0</v>
      </c>
      <c r="O1061" s="17">
        <f>ROUND(55116.39,2)</f>
        <v>55116.39</v>
      </c>
      <c r="P1061" s="18">
        <v>88.28612586481023</v>
      </c>
      <c r="Q1061" s="18">
        <v>100</v>
      </c>
    </row>
    <row r="1062" spans="1:17" ht="12.75" customHeight="1">
      <c r="A1062" s="19" t="s">
        <v>60</v>
      </c>
      <c r="B1062" s="19"/>
      <c r="C1062" s="19"/>
      <c r="D1062" s="19"/>
      <c r="E1062" s="20">
        <f>SUM('DS1'!$A$277)</f>
        <v>466325.37</v>
      </c>
      <c r="F1062" s="20">
        <v>4196.93</v>
      </c>
      <c r="G1062" s="20">
        <v>470522.3</v>
      </c>
      <c r="H1062" s="20">
        <v>415405.91</v>
      </c>
      <c r="I1062" s="21">
        <v>415405.91</v>
      </c>
      <c r="J1062" s="21"/>
      <c r="K1062" s="21">
        <v>415405.91</v>
      </c>
      <c r="L1062" s="21"/>
      <c r="M1062" s="20">
        <v>415405.91</v>
      </c>
      <c r="N1062" s="20">
        <v>415405.91</v>
      </c>
      <c r="O1062" s="20">
        <v>55116.39</v>
      </c>
      <c r="P1062" s="22">
        <v>11.713874135189768</v>
      </c>
      <c r="Q1062" s="22">
        <v>88.28612586481023</v>
      </c>
    </row>
    <row r="1063" spans="1:17" ht="12.75" customHeight="1">
      <c r="A1063" s="23"/>
      <c r="B1063" s="24"/>
      <c r="C1063" s="24"/>
      <c r="D1063" s="24"/>
      <c r="E1063" s="23"/>
      <c r="F1063" s="20">
        <v>0</v>
      </c>
      <c r="G1063" s="20">
        <v>0</v>
      </c>
      <c r="H1063" s="20">
        <v>0</v>
      </c>
      <c r="I1063" s="21">
        <v>0</v>
      </c>
      <c r="J1063" s="21"/>
      <c r="K1063" s="21">
        <v>0</v>
      </c>
      <c r="L1063" s="21"/>
      <c r="M1063" s="20">
        <v>0</v>
      </c>
      <c r="N1063" s="20">
        <v>0</v>
      </c>
      <c r="O1063" s="20">
        <v>55116.390000000014</v>
      </c>
      <c r="P1063" s="22">
        <v>88.28612586481023</v>
      </c>
      <c r="Q1063" s="22">
        <v>100</v>
      </c>
    </row>
    <row r="1064" spans="1:17" ht="20.25" customHeight="1">
      <c r="A1064" s="23"/>
      <c r="B1064" s="24"/>
      <c r="C1064" s="24"/>
      <c r="D1064" s="24"/>
      <c r="E1064" s="23"/>
      <c r="F1064" s="23"/>
      <c r="G1064" s="23"/>
      <c r="H1064" s="23"/>
      <c r="I1064" s="24"/>
      <c r="J1064" s="24"/>
      <c r="K1064" s="24"/>
      <c r="L1064" s="24"/>
      <c r="M1064" s="23"/>
      <c r="N1064" s="23"/>
      <c r="O1064" s="23"/>
      <c r="P1064" s="23"/>
      <c r="Q1064" s="23"/>
    </row>
    <row r="1065" spans="1:17" ht="12.75" customHeight="1">
      <c r="A1065" s="10"/>
      <c r="B1065" s="11" t="s">
        <v>700</v>
      </c>
      <c r="C1065" s="11"/>
      <c r="D1065" s="11"/>
      <c r="E1065" s="12">
        <f>ROUND(10685.97,2)</f>
        <v>10685.97</v>
      </c>
      <c r="F1065" s="12">
        <f>ROUND(96.17,2)</f>
        <v>96.17</v>
      </c>
      <c r="G1065" s="12">
        <f>ROUND(10782.14,2)</f>
        <v>10782.14</v>
      </c>
      <c r="H1065" s="12">
        <f>ROUND(8394.71,2)</f>
        <v>8394.71</v>
      </c>
      <c r="I1065" s="13">
        <f>ROUND(8394.71,2)</f>
        <v>8394.71</v>
      </c>
      <c r="J1065" s="13"/>
      <c r="K1065" s="13">
        <f>ROUND(8394.71,2)</f>
        <v>8394.71</v>
      </c>
      <c r="L1065" s="13"/>
      <c r="M1065" s="12">
        <f>ROUND(8394.71,2)</f>
        <v>8394.71</v>
      </c>
      <c r="N1065" s="12">
        <f>ROUND(8394.71,2)</f>
        <v>8394.71</v>
      </c>
      <c r="O1065" s="12">
        <f>ROUND(2387.43,2)</f>
        <v>2387.43</v>
      </c>
      <c r="P1065" s="14">
        <v>22.142450385544983</v>
      </c>
      <c r="Q1065" s="14">
        <v>77.85754961445501</v>
      </c>
    </row>
    <row r="1066" spans="1:17" ht="12.75" customHeight="1">
      <c r="A1066" s="15" t="s">
        <v>701</v>
      </c>
      <c r="B1066" s="15"/>
      <c r="C1066" s="15"/>
      <c r="D1066" s="15"/>
      <c r="E1066" s="16" t="s">
        <v>572</v>
      </c>
      <c r="F1066" s="17">
        <f>ROUND(0,2)</f>
        <v>0</v>
      </c>
      <c r="G1066" s="17">
        <f>ROUND(0,2)</f>
        <v>0</v>
      </c>
      <c r="H1066" s="17">
        <f>ROUND(0,2)</f>
        <v>0</v>
      </c>
      <c r="I1066" s="17">
        <f>ROUND(0,2)</f>
        <v>0</v>
      </c>
      <c r="J1066" s="17"/>
      <c r="K1066" s="17">
        <f>ROUND(0,2)</f>
        <v>0</v>
      </c>
      <c r="L1066" s="17"/>
      <c r="M1066" s="17">
        <f>ROUND(0,2)</f>
        <v>0</v>
      </c>
      <c r="N1066" s="17">
        <f>ROUND(0,2)</f>
        <v>0</v>
      </c>
      <c r="O1066" s="17">
        <f>ROUND(2387.43,2)</f>
        <v>2387.43</v>
      </c>
      <c r="P1066" s="18">
        <v>77.85754961445501</v>
      </c>
      <c r="Q1066" s="18">
        <v>100</v>
      </c>
    </row>
    <row r="1067" spans="1:17" ht="12.75" customHeight="1">
      <c r="A1067" s="10"/>
      <c r="B1067" s="11" t="s">
        <v>702</v>
      </c>
      <c r="C1067" s="11"/>
      <c r="D1067" s="11"/>
      <c r="E1067" s="12">
        <f>ROUND(155876.51,2)</f>
        <v>155876.51</v>
      </c>
      <c r="F1067" s="12">
        <f>ROUND(1402.89,2)</f>
        <v>1402.89</v>
      </c>
      <c r="G1067" s="12">
        <f>ROUND(157279.4,2)</f>
        <v>157279.4</v>
      </c>
      <c r="H1067" s="12">
        <f>ROUND(146134.57,2)</f>
        <v>146134.57</v>
      </c>
      <c r="I1067" s="13">
        <f>ROUND(146134.57,2)</f>
        <v>146134.57</v>
      </c>
      <c r="J1067" s="13"/>
      <c r="K1067" s="13">
        <f>ROUND(146134.57,2)</f>
        <v>146134.57</v>
      </c>
      <c r="L1067" s="13"/>
      <c r="M1067" s="12">
        <f>ROUND(146134.57,2)</f>
        <v>146134.57</v>
      </c>
      <c r="N1067" s="12">
        <f>ROUND(146134.57,2)</f>
        <v>146134.57</v>
      </c>
      <c r="O1067" s="12">
        <f>ROUND(11144.83,2)</f>
        <v>11144.83</v>
      </c>
      <c r="P1067" s="14">
        <v>7.086007449163717</v>
      </c>
      <c r="Q1067" s="14">
        <v>92.91399255083628</v>
      </c>
    </row>
    <row r="1068" spans="1:17" ht="12.75" customHeight="1">
      <c r="A1068" s="15" t="s">
        <v>701</v>
      </c>
      <c r="B1068" s="15"/>
      <c r="C1068" s="15"/>
      <c r="D1068" s="15"/>
      <c r="E1068" s="16" t="s">
        <v>572</v>
      </c>
      <c r="F1068" s="17">
        <f>ROUND(0,2)</f>
        <v>0</v>
      </c>
      <c r="G1068" s="17">
        <f>ROUND(0,2)</f>
        <v>0</v>
      </c>
      <c r="H1068" s="17">
        <f>ROUND(0,2)</f>
        <v>0</v>
      </c>
      <c r="I1068" s="17">
        <f>ROUND(0,2)</f>
        <v>0</v>
      </c>
      <c r="J1068" s="17"/>
      <c r="K1068" s="17">
        <f>ROUND(0,2)</f>
        <v>0</v>
      </c>
      <c r="L1068" s="17"/>
      <c r="M1068" s="17">
        <f>ROUND(0,2)</f>
        <v>0</v>
      </c>
      <c r="N1068" s="17">
        <f>ROUND(0,2)</f>
        <v>0</v>
      </c>
      <c r="O1068" s="17">
        <f>ROUND(11144.83,2)</f>
        <v>11144.83</v>
      </c>
      <c r="P1068" s="18">
        <v>92.91399255083628</v>
      </c>
      <c r="Q1068" s="18">
        <v>100</v>
      </c>
    </row>
    <row r="1069" spans="1:17" ht="12.75" customHeight="1">
      <c r="A1069" s="19" t="s">
        <v>68</v>
      </c>
      <c r="B1069" s="19"/>
      <c r="C1069" s="19"/>
      <c r="D1069" s="19"/>
      <c r="E1069" s="20">
        <f>SUM('DS1'!$A$278:$A$279)</f>
        <v>166562.48</v>
      </c>
      <c r="F1069" s="20">
        <v>1499.0600000000002</v>
      </c>
      <c r="G1069" s="20">
        <v>168061.54000000004</v>
      </c>
      <c r="H1069" s="20">
        <v>154529.28</v>
      </c>
      <c r="I1069" s="21">
        <v>154529.28</v>
      </c>
      <c r="J1069" s="21"/>
      <c r="K1069" s="21">
        <v>154529.28</v>
      </c>
      <c r="L1069" s="21"/>
      <c r="M1069" s="20">
        <v>154529.28</v>
      </c>
      <c r="N1069" s="20">
        <v>154529.28</v>
      </c>
      <c r="O1069" s="20">
        <v>13532.26</v>
      </c>
      <c r="P1069" s="22">
        <v>8.051967154412603</v>
      </c>
      <c r="Q1069" s="22">
        <v>91.94803284558738</v>
      </c>
    </row>
    <row r="1070" spans="1:17" ht="12.75" customHeight="1">
      <c r="A1070" s="23"/>
      <c r="B1070" s="24"/>
      <c r="C1070" s="24"/>
      <c r="D1070" s="24"/>
      <c r="E1070" s="23"/>
      <c r="F1070" s="20">
        <v>0</v>
      </c>
      <c r="G1070" s="20">
        <v>0</v>
      </c>
      <c r="H1070" s="20">
        <v>0</v>
      </c>
      <c r="I1070" s="21">
        <v>0</v>
      </c>
      <c r="J1070" s="21"/>
      <c r="K1070" s="21">
        <v>0</v>
      </c>
      <c r="L1070" s="21"/>
      <c r="M1070" s="20">
        <v>0</v>
      </c>
      <c r="N1070" s="20">
        <v>0</v>
      </c>
      <c r="O1070" s="20">
        <v>13532.260000000017</v>
      </c>
      <c r="P1070" s="22">
        <v>91.94803284558738</v>
      </c>
      <c r="Q1070" s="22">
        <v>100</v>
      </c>
    </row>
    <row r="1071" spans="1:17" ht="20.25" customHeight="1">
      <c r="A1071" s="23"/>
      <c r="B1071" s="24"/>
      <c r="C1071" s="24"/>
      <c r="D1071" s="24"/>
      <c r="E1071" s="23"/>
      <c r="F1071" s="23"/>
      <c r="G1071" s="23"/>
      <c r="H1071" s="23"/>
      <c r="I1071" s="24"/>
      <c r="J1071" s="24"/>
      <c r="K1071" s="24"/>
      <c r="L1071" s="24"/>
      <c r="M1071" s="23"/>
      <c r="N1071" s="23"/>
      <c r="O1071" s="23"/>
      <c r="P1071" s="23"/>
      <c r="Q1071" s="23"/>
    </row>
    <row r="1072" spans="1:17" ht="12.75" customHeight="1">
      <c r="A1072" s="10"/>
      <c r="B1072" s="11" t="s">
        <v>703</v>
      </c>
      <c r="C1072" s="11"/>
      <c r="D1072" s="11"/>
      <c r="E1072" s="12">
        <f>ROUND(10000,2)</f>
        <v>10000</v>
      </c>
      <c r="F1072" s="12">
        <f aca="true" t="shared" si="596" ref="F1072:F1073">ROUND(0,2)</f>
        <v>0</v>
      </c>
      <c r="G1072" s="12">
        <f>ROUND(10000,2)</f>
        <v>10000</v>
      </c>
      <c r="H1072" s="12">
        <f>ROUND(9005.72,2)</f>
        <v>9005.72</v>
      </c>
      <c r="I1072" s="13">
        <f aca="true" t="shared" si="597" ref="I1072:I1073">ROUND(9005.72,2)</f>
        <v>9005.72</v>
      </c>
      <c r="J1072" s="13"/>
      <c r="K1072" s="13">
        <f aca="true" t="shared" si="598" ref="K1072:K1073">ROUND(0,2)</f>
        <v>0</v>
      </c>
      <c r="L1072" s="13"/>
      <c r="M1072" s="12">
        <f aca="true" t="shared" si="599" ref="M1072:M1073">ROUND(0,2)</f>
        <v>0</v>
      </c>
      <c r="N1072" s="12">
        <f aca="true" t="shared" si="600" ref="N1072:N1073">ROUND(0,2)</f>
        <v>0</v>
      </c>
      <c r="O1072" s="12">
        <f>ROUND(994.28,2)</f>
        <v>994.28</v>
      </c>
      <c r="P1072" s="14">
        <v>9.9428</v>
      </c>
      <c r="Q1072" s="14">
        <v>0</v>
      </c>
    </row>
    <row r="1073" spans="1:17" ht="12.75" customHeight="1">
      <c r="A1073" s="15" t="s">
        <v>704</v>
      </c>
      <c r="B1073" s="15"/>
      <c r="C1073" s="15"/>
      <c r="D1073" s="15"/>
      <c r="E1073" s="16" t="s">
        <v>705</v>
      </c>
      <c r="F1073" s="17">
        <f t="shared" si="596"/>
        <v>0</v>
      </c>
      <c r="G1073" s="17">
        <f>ROUND(0,2)</f>
        <v>0</v>
      </c>
      <c r="H1073" s="17">
        <f>ROUND(0,2)</f>
        <v>0</v>
      </c>
      <c r="I1073" s="17">
        <f t="shared" si="597"/>
        <v>9005.72</v>
      </c>
      <c r="J1073" s="17"/>
      <c r="K1073" s="17">
        <f t="shared" si="598"/>
        <v>0</v>
      </c>
      <c r="L1073" s="17"/>
      <c r="M1073" s="17">
        <f t="shared" si="599"/>
        <v>0</v>
      </c>
      <c r="N1073" s="17">
        <f t="shared" si="600"/>
        <v>0</v>
      </c>
      <c r="O1073" s="17">
        <f>ROUND(10000,2)</f>
        <v>10000</v>
      </c>
      <c r="P1073" s="18">
        <v>90.0572</v>
      </c>
      <c r="Q1073" s="18">
        <v>0</v>
      </c>
    </row>
    <row r="1074" spans="1:17" ht="12.75" customHeight="1">
      <c r="A1074" s="19" t="s">
        <v>706</v>
      </c>
      <c r="B1074" s="19"/>
      <c r="C1074" s="19"/>
      <c r="D1074" s="19"/>
      <c r="E1074" s="20">
        <f>SUM('DS1'!$A$280)</f>
        <v>10000</v>
      </c>
      <c r="F1074" s="20">
        <v>0</v>
      </c>
      <c r="G1074" s="20">
        <v>10000</v>
      </c>
      <c r="H1074" s="20">
        <v>9005.72</v>
      </c>
      <c r="I1074" s="21">
        <v>9005.72</v>
      </c>
      <c r="J1074" s="21"/>
      <c r="K1074" s="21">
        <v>0</v>
      </c>
      <c r="L1074" s="21"/>
      <c r="M1074" s="20">
        <v>0</v>
      </c>
      <c r="N1074" s="20">
        <v>0</v>
      </c>
      <c r="O1074" s="20">
        <v>994.28</v>
      </c>
      <c r="P1074" s="22">
        <v>9.9428</v>
      </c>
      <c r="Q1074" s="22">
        <v>0</v>
      </c>
    </row>
    <row r="1075" spans="1:17" ht="12.75" customHeight="1">
      <c r="A1075" s="23"/>
      <c r="B1075" s="24"/>
      <c r="C1075" s="24"/>
      <c r="D1075" s="24"/>
      <c r="E1075" s="23"/>
      <c r="F1075" s="20">
        <v>0</v>
      </c>
      <c r="G1075" s="20">
        <v>0</v>
      </c>
      <c r="H1075" s="20">
        <v>0</v>
      </c>
      <c r="I1075" s="21">
        <v>9005.72</v>
      </c>
      <c r="J1075" s="21"/>
      <c r="K1075" s="21">
        <v>0</v>
      </c>
      <c r="L1075" s="21"/>
      <c r="M1075" s="20">
        <v>0</v>
      </c>
      <c r="N1075" s="20">
        <v>0</v>
      </c>
      <c r="O1075" s="20">
        <v>10000</v>
      </c>
      <c r="P1075" s="22">
        <v>90.0572</v>
      </c>
      <c r="Q1075" s="22">
        <v>0</v>
      </c>
    </row>
    <row r="1076" spans="1:17" ht="20.25" customHeight="1">
      <c r="A1076" s="23"/>
      <c r="B1076" s="24"/>
      <c r="C1076" s="24"/>
      <c r="D1076" s="24"/>
      <c r="E1076" s="23"/>
      <c r="F1076" s="23"/>
      <c r="G1076" s="23"/>
      <c r="H1076" s="23"/>
      <c r="I1076" s="24"/>
      <c r="J1076" s="24"/>
      <c r="K1076" s="24"/>
      <c r="L1076" s="24"/>
      <c r="M1076" s="23"/>
      <c r="N1076" s="23"/>
      <c r="O1076" s="23"/>
      <c r="P1076" s="23"/>
      <c r="Q1076" s="23"/>
    </row>
    <row r="1077" spans="1:17" ht="12.75" customHeight="1">
      <c r="A1077" s="19" t="s">
        <v>707</v>
      </c>
      <c r="B1077" s="19"/>
      <c r="C1077" s="19"/>
      <c r="D1077" s="19"/>
      <c r="E1077" s="20">
        <f>SUM('DS1'!$A$276:$A$280)</f>
        <v>675269.57</v>
      </c>
      <c r="F1077" s="20">
        <v>5987.43</v>
      </c>
      <c r="G1077" s="20">
        <v>681257</v>
      </c>
      <c r="H1077" s="20">
        <v>599137.42</v>
      </c>
      <c r="I1077" s="21">
        <v>599137.42</v>
      </c>
      <c r="J1077" s="21"/>
      <c r="K1077" s="21">
        <v>590131.7</v>
      </c>
      <c r="L1077" s="21"/>
      <c r="M1077" s="20">
        <v>590131.7</v>
      </c>
      <c r="N1077" s="20">
        <v>590131.7</v>
      </c>
      <c r="O1077" s="20">
        <v>82119.58</v>
      </c>
      <c r="P1077" s="22">
        <v>12.054126416315722</v>
      </c>
      <c r="Q1077" s="22">
        <v>86.62394661632834</v>
      </c>
    </row>
    <row r="1078" spans="1:17" ht="12.75" customHeight="1">
      <c r="A1078" s="23"/>
      <c r="B1078" s="24"/>
      <c r="C1078" s="24"/>
      <c r="D1078" s="24"/>
      <c r="E1078" s="23"/>
      <c r="F1078" s="20">
        <v>0</v>
      </c>
      <c r="G1078" s="20">
        <v>0</v>
      </c>
      <c r="H1078" s="20">
        <v>0</v>
      </c>
      <c r="I1078" s="21">
        <v>9005.72</v>
      </c>
      <c r="J1078" s="21"/>
      <c r="K1078" s="21">
        <v>0</v>
      </c>
      <c r="L1078" s="21"/>
      <c r="M1078" s="20">
        <v>0</v>
      </c>
      <c r="N1078" s="20">
        <v>0</v>
      </c>
      <c r="O1078" s="20">
        <v>91125.30000000002</v>
      </c>
      <c r="P1078" s="22">
        <v>87.94587358368429</v>
      </c>
      <c r="Q1078" s="22">
        <v>100</v>
      </c>
    </row>
    <row r="1079" spans="1:17" ht="18" customHeight="1">
      <c r="A1079" s="23"/>
      <c r="B1079" s="24"/>
      <c r="C1079" s="24"/>
      <c r="D1079" s="24"/>
      <c r="E1079" s="23"/>
      <c r="F1079" s="23"/>
      <c r="G1079" s="23"/>
      <c r="H1079" s="23"/>
      <c r="I1079" s="24"/>
      <c r="J1079" s="24"/>
      <c r="K1079" s="24"/>
      <c r="L1079" s="24"/>
      <c r="M1079" s="23"/>
      <c r="N1079" s="23"/>
      <c r="O1079" s="23"/>
      <c r="P1079" s="23"/>
      <c r="Q1079" s="23"/>
    </row>
    <row r="1080" spans="1:17" ht="12.75" customHeight="1">
      <c r="A1080" s="10"/>
      <c r="B1080" s="11" t="s">
        <v>708</v>
      </c>
      <c r="C1080" s="11"/>
      <c r="D1080" s="11"/>
      <c r="E1080" s="12">
        <f>ROUND(6000,2)</f>
        <v>6000</v>
      </c>
      <c r="F1080" s="12">
        <f aca="true" t="shared" si="601" ref="F1080:F1081">ROUND(0,2)</f>
        <v>0</v>
      </c>
      <c r="G1080" s="12">
        <f>ROUND(6000,2)</f>
        <v>6000</v>
      </c>
      <c r="H1080" s="12">
        <f aca="true" t="shared" si="602" ref="H1080:H1081">ROUND(0,2)</f>
        <v>0</v>
      </c>
      <c r="I1080" s="13">
        <f aca="true" t="shared" si="603" ref="I1080:I1081">ROUND(0,2)</f>
        <v>0</v>
      </c>
      <c r="J1080" s="13"/>
      <c r="K1080" s="13">
        <f aca="true" t="shared" si="604" ref="K1080:K1081">ROUND(0,2)</f>
        <v>0</v>
      </c>
      <c r="L1080" s="13"/>
      <c r="M1080" s="12">
        <f aca="true" t="shared" si="605" ref="M1080:M1081">ROUND(0,2)</f>
        <v>0</v>
      </c>
      <c r="N1080" s="12">
        <f aca="true" t="shared" si="606" ref="N1080:N1081">ROUND(0,2)</f>
        <v>0</v>
      </c>
      <c r="O1080" s="12">
        <f aca="true" t="shared" si="607" ref="O1080:O1081">ROUND(6000,2)</f>
        <v>6000</v>
      </c>
      <c r="P1080" s="14">
        <v>100</v>
      </c>
      <c r="Q1080" s="14">
        <v>0</v>
      </c>
    </row>
    <row r="1081" spans="1:17" ht="12.75" customHeight="1">
      <c r="A1081" s="15" t="s">
        <v>709</v>
      </c>
      <c r="B1081" s="15"/>
      <c r="C1081" s="15"/>
      <c r="D1081" s="15"/>
      <c r="E1081" s="16" t="s">
        <v>710</v>
      </c>
      <c r="F1081" s="17">
        <f t="shared" si="601"/>
        <v>0</v>
      </c>
      <c r="G1081" s="17">
        <f>ROUND(0,2)</f>
        <v>0</v>
      </c>
      <c r="H1081" s="17">
        <f t="shared" si="602"/>
        <v>0</v>
      </c>
      <c r="I1081" s="17">
        <f t="shared" si="603"/>
        <v>0</v>
      </c>
      <c r="J1081" s="17"/>
      <c r="K1081" s="17">
        <f t="shared" si="604"/>
        <v>0</v>
      </c>
      <c r="L1081" s="17"/>
      <c r="M1081" s="17">
        <f t="shared" si="605"/>
        <v>0</v>
      </c>
      <c r="N1081" s="17">
        <f t="shared" si="606"/>
        <v>0</v>
      </c>
      <c r="O1081" s="17">
        <f t="shared" si="607"/>
        <v>6000</v>
      </c>
      <c r="P1081" s="18">
        <v>0</v>
      </c>
      <c r="Q1081" s="18">
        <v>0</v>
      </c>
    </row>
    <row r="1082" spans="1:17" ht="12.75" customHeight="1">
      <c r="A1082" s="19" t="s">
        <v>76</v>
      </c>
      <c r="B1082" s="19"/>
      <c r="C1082" s="19"/>
      <c r="D1082" s="19"/>
      <c r="E1082" s="20">
        <f>SUM('DS1'!$A$281)</f>
        <v>6000</v>
      </c>
      <c r="F1082" s="20">
        <v>0</v>
      </c>
      <c r="G1082" s="20">
        <v>6000</v>
      </c>
      <c r="H1082" s="20">
        <v>0</v>
      </c>
      <c r="I1082" s="21">
        <v>0</v>
      </c>
      <c r="J1082" s="21"/>
      <c r="K1082" s="21">
        <v>0</v>
      </c>
      <c r="L1082" s="21"/>
      <c r="M1082" s="20">
        <v>0</v>
      </c>
      <c r="N1082" s="20">
        <v>0</v>
      </c>
      <c r="O1082" s="20">
        <v>6000</v>
      </c>
      <c r="P1082" s="22">
        <v>100</v>
      </c>
      <c r="Q1082" s="22">
        <v>0</v>
      </c>
    </row>
    <row r="1083" spans="1:17" ht="12.75" customHeight="1">
      <c r="A1083" s="23"/>
      <c r="B1083" s="24"/>
      <c r="C1083" s="24"/>
      <c r="D1083" s="24"/>
      <c r="E1083" s="23"/>
      <c r="F1083" s="20">
        <v>0</v>
      </c>
      <c r="G1083" s="20">
        <v>0</v>
      </c>
      <c r="H1083" s="20">
        <v>0</v>
      </c>
      <c r="I1083" s="21">
        <v>0</v>
      </c>
      <c r="J1083" s="21"/>
      <c r="K1083" s="21">
        <v>0</v>
      </c>
      <c r="L1083" s="21"/>
      <c r="M1083" s="20">
        <v>0</v>
      </c>
      <c r="N1083" s="20">
        <v>0</v>
      </c>
      <c r="O1083" s="20">
        <v>6000</v>
      </c>
      <c r="P1083" s="22">
        <v>0</v>
      </c>
      <c r="Q1083" s="22">
        <v>0</v>
      </c>
    </row>
    <row r="1084" spans="1:17" ht="20.25" customHeight="1">
      <c r="A1084" s="23"/>
      <c r="B1084" s="24"/>
      <c r="C1084" s="24"/>
      <c r="D1084" s="24"/>
      <c r="E1084" s="23"/>
      <c r="F1084" s="23"/>
      <c r="G1084" s="23"/>
      <c r="H1084" s="23"/>
      <c r="I1084" s="24"/>
      <c r="J1084" s="24"/>
      <c r="K1084" s="24"/>
      <c r="L1084" s="24"/>
      <c r="M1084" s="23"/>
      <c r="N1084" s="23"/>
      <c r="O1084" s="23"/>
      <c r="P1084" s="23"/>
      <c r="Q1084" s="23"/>
    </row>
    <row r="1085" spans="1:17" ht="12.75" customHeight="1">
      <c r="A1085" s="10"/>
      <c r="B1085" s="11" t="s">
        <v>711</v>
      </c>
      <c r="C1085" s="11"/>
      <c r="D1085" s="11"/>
      <c r="E1085" s="12">
        <f>ROUND(2000,2)</f>
        <v>2000</v>
      </c>
      <c r="F1085" s="12">
        <f aca="true" t="shared" si="608" ref="F1085:F1086">ROUND(0,2)</f>
        <v>0</v>
      </c>
      <c r="G1085" s="12">
        <f>ROUND(2000,2)</f>
        <v>2000</v>
      </c>
      <c r="H1085" s="12">
        <f aca="true" t="shared" si="609" ref="H1085:H1086">ROUND(0,2)</f>
        <v>0</v>
      </c>
      <c r="I1085" s="13">
        <f aca="true" t="shared" si="610" ref="I1085:I1086">ROUND(0,2)</f>
        <v>0</v>
      </c>
      <c r="J1085" s="13"/>
      <c r="K1085" s="13">
        <f aca="true" t="shared" si="611" ref="K1085:K1086">ROUND(0,2)</f>
        <v>0</v>
      </c>
      <c r="L1085" s="13"/>
      <c r="M1085" s="12">
        <f aca="true" t="shared" si="612" ref="M1085:M1086">ROUND(0,2)</f>
        <v>0</v>
      </c>
      <c r="N1085" s="12">
        <f aca="true" t="shared" si="613" ref="N1085:N1086">ROUND(0,2)</f>
        <v>0</v>
      </c>
      <c r="O1085" s="12">
        <f aca="true" t="shared" si="614" ref="O1085:O1086">ROUND(2000,2)</f>
        <v>2000</v>
      </c>
      <c r="P1085" s="14">
        <v>100</v>
      </c>
      <c r="Q1085" s="14">
        <v>0</v>
      </c>
    </row>
    <row r="1086" spans="1:17" ht="12.75" customHeight="1">
      <c r="A1086" s="15" t="s">
        <v>712</v>
      </c>
      <c r="B1086" s="15"/>
      <c r="C1086" s="15"/>
      <c r="D1086" s="15"/>
      <c r="E1086" s="16" t="s">
        <v>713</v>
      </c>
      <c r="F1086" s="17">
        <f t="shared" si="608"/>
        <v>0</v>
      </c>
      <c r="G1086" s="17">
        <f>ROUND(0,2)</f>
        <v>0</v>
      </c>
      <c r="H1086" s="17">
        <f t="shared" si="609"/>
        <v>0</v>
      </c>
      <c r="I1086" s="17">
        <f t="shared" si="610"/>
        <v>0</v>
      </c>
      <c r="J1086" s="17"/>
      <c r="K1086" s="17">
        <f t="shared" si="611"/>
        <v>0</v>
      </c>
      <c r="L1086" s="17"/>
      <c r="M1086" s="17">
        <f t="shared" si="612"/>
        <v>0</v>
      </c>
      <c r="N1086" s="17">
        <f t="shared" si="613"/>
        <v>0</v>
      </c>
      <c r="O1086" s="17">
        <f t="shared" si="614"/>
        <v>2000</v>
      </c>
      <c r="P1086" s="18">
        <v>0</v>
      </c>
      <c r="Q1086" s="18">
        <v>0</v>
      </c>
    </row>
    <row r="1087" spans="1:17" ht="12.75" customHeight="1">
      <c r="A1087" s="19" t="s">
        <v>500</v>
      </c>
      <c r="B1087" s="19"/>
      <c r="C1087" s="19"/>
      <c r="D1087" s="19"/>
      <c r="E1087" s="20">
        <f>SUM('DS1'!$A$282)</f>
        <v>2000</v>
      </c>
      <c r="F1087" s="20">
        <v>0</v>
      </c>
      <c r="G1087" s="20">
        <v>2000</v>
      </c>
      <c r="H1087" s="20">
        <v>0</v>
      </c>
      <c r="I1087" s="21">
        <v>0</v>
      </c>
      <c r="J1087" s="21"/>
      <c r="K1087" s="21">
        <v>0</v>
      </c>
      <c r="L1087" s="21"/>
      <c r="M1087" s="20">
        <v>0</v>
      </c>
      <c r="N1087" s="20">
        <v>0</v>
      </c>
      <c r="O1087" s="20">
        <v>2000</v>
      </c>
      <c r="P1087" s="22">
        <v>100</v>
      </c>
      <c r="Q1087" s="22">
        <v>0</v>
      </c>
    </row>
    <row r="1088" spans="1:17" ht="12.75" customHeight="1">
      <c r="A1088" s="23"/>
      <c r="B1088" s="24"/>
      <c r="C1088" s="24"/>
      <c r="D1088" s="24"/>
      <c r="E1088" s="23"/>
      <c r="F1088" s="20">
        <v>0</v>
      </c>
      <c r="G1088" s="20">
        <v>0</v>
      </c>
      <c r="H1088" s="20">
        <v>0</v>
      </c>
      <c r="I1088" s="21">
        <v>0</v>
      </c>
      <c r="J1088" s="21"/>
      <c r="K1088" s="21">
        <v>0</v>
      </c>
      <c r="L1088" s="21"/>
      <c r="M1088" s="20">
        <v>0</v>
      </c>
      <c r="N1088" s="20">
        <v>0</v>
      </c>
      <c r="O1088" s="20">
        <v>2000</v>
      </c>
      <c r="P1088" s="22">
        <v>0</v>
      </c>
      <c r="Q1088" s="22">
        <v>0</v>
      </c>
    </row>
    <row r="1089" spans="1:17" ht="20.25" customHeight="1">
      <c r="A1089" s="23"/>
      <c r="B1089" s="24"/>
      <c r="C1089" s="24"/>
      <c r="D1089" s="24"/>
      <c r="E1089" s="23"/>
      <c r="F1089" s="23"/>
      <c r="G1089" s="23"/>
      <c r="H1089" s="23"/>
      <c r="I1089" s="24"/>
      <c r="J1089" s="24"/>
      <c r="K1089" s="24"/>
      <c r="L1089" s="24"/>
      <c r="M1089" s="23"/>
      <c r="N1089" s="23"/>
      <c r="O1089" s="23"/>
      <c r="P1089" s="23"/>
      <c r="Q1089" s="23"/>
    </row>
    <row r="1090" spans="1:17" ht="12.75" customHeight="1">
      <c r="A1090" s="10"/>
      <c r="B1090" s="11" t="s">
        <v>714</v>
      </c>
      <c r="C1090" s="11"/>
      <c r="D1090" s="11"/>
      <c r="E1090" s="12">
        <f>ROUND(2000,2)</f>
        <v>2000</v>
      </c>
      <c r="F1090" s="12">
        <f aca="true" t="shared" si="615" ref="F1090:F1091">ROUND(0,2)</f>
        <v>0</v>
      </c>
      <c r="G1090" s="12">
        <f>ROUND(2000,2)</f>
        <v>2000</v>
      </c>
      <c r="H1090" s="12">
        <f aca="true" t="shared" si="616" ref="H1090:H1091">ROUND(0,2)</f>
        <v>0</v>
      </c>
      <c r="I1090" s="13">
        <f aca="true" t="shared" si="617" ref="I1090:I1091">ROUND(0,2)</f>
        <v>0</v>
      </c>
      <c r="J1090" s="13"/>
      <c r="K1090" s="13">
        <f aca="true" t="shared" si="618" ref="K1090:K1091">ROUND(0,2)</f>
        <v>0</v>
      </c>
      <c r="L1090" s="13"/>
      <c r="M1090" s="12">
        <f aca="true" t="shared" si="619" ref="M1090:M1091">ROUND(0,2)</f>
        <v>0</v>
      </c>
      <c r="N1090" s="12">
        <f aca="true" t="shared" si="620" ref="N1090:N1091">ROUND(0,2)</f>
        <v>0</v>
      </c>
      <c r="O1090" s="12">
        <f aca="true" t="shared" si="621" ref="O1090:O1091">ROUND(2000,2)</f>
        <v>2000</v>
      </c>
      <c r="P1090" s="14">
        <v>100</v>
      </c>
      <c r="Q1090" s="14">
        <v>0</v>
      </c>
    </row>
    <row r="1091" spans="1:17" ht="12.75" customHeight="1">
      <c r="A1091" s="15" t="s">
        <v>715</v>
      </c>
      <c r="B1091" s="15"/>
      <c r="C1091" s="15"/>
      <c r="D1091" s="15"/>
      <c r="E1091" s="16" t="s">
        <v>713</v>
      </c>
      <c r="F1091" s="17">
        <f t="shared" si="615"/>
        <v>0</v>
      </c>
      <c r="G1091" s="17">
        <f>ROUND(0,2)</f>
        <v>0</v>
      </c>
      <c r="H1091" s="17">
        <f t="shared" si="616"/>
        <v>0</v>
      </c>
      <c r="I1091" s="17">
        <f t="shared" si="617"/>
        <v>0</v>
      </c>
      <c r="J1091" s="17"/>
      <c r="K1091" s="17">
        <f t="shared" si="618"/>
        <v>0</v>
      </c>
      <c r="L1091" s="17"/>
      <c r="M1091" s="17">
        <f t="shared" si="619"/>
        <v>0</v>
      </c>
      <c r="N1091" s="17">
        <f t="shared" si="620"/>
        <v>0</v>
      </c>
      <c r="O1091" s="17">
        <f t="shared" si="621"/>
        <v>2000</v>
      </c>
      <c r="P1091" s="18">
        <v>0</v>
      </c>
      <c r="Q1091" s="18">
        <v>0</v>
      </c>
    </row>
    <row r="1092" spans="1:17" ht="12.75" customHeight="1">
      <c r="A1092" s="19" t="s">
        <v>92</v>
      </c>
      <c r="B1092" s="19"/>
      <c r="C1092" s="19"/>
      <c r="D1092" s="19"/>
      <c r="E1092" s="20">
        <f>SUM('DS1'!$A$283)</f>
        <v>2000</v>
      </c>
      <c r="F1092" s="20">
        <v>0</v>
      </c>
      <c r="G1092" s="20">
        <v>2000</v>
      </c>
      <c r="H1092" s="20">
        <v>0</v>
      </c>
      <c r="I1092" s="21">
        <v>0</v>
      </c>
      <c r="J1092" s="21"/>
      <c r="K1092" s="21">
        <v>0</v>
      </c>
      <c r="L1092" s="21"/>
      <c r="M1092" s="20">
        <v>0</v>
      </c>
      <c r="N1092" s="20">
        <v>0</v>
      </c>
      <c r="O1092" s="20">
        <v>2000</v>
      </c>
      <c r="P1092" s="22">
        <v>100</v>
      </c>
      <c r="Q1092" s="22">
        <v>0</v>
      </c>
    </row>
    <row r="1093" spans="1:17" ht="12.75" customHeight="1">
      <c r="A1093" s="23"/>
      <c r="B1093" s="24"/>
      <c r="C1093" s="24"/>
      <c r="D1093" s="24"/>
      <c r="E1093" s="23"/>
      <c r="F1093" s="20">
        <v>0</v>
      </c>
      <c r="G1093" s="20">
        <v>0</v>
      </c>
      <c r="H1093" s="20">
        <v>0</v>
      </c>
      <c r="I1093" s="21">
        <v>0</v>
      </c>
      <c r="J1093" s="21"/>
      <c r="K1093" s="21">
        <v>0</v>
      </c>
      <c r="L1093" s="21"/>
      <c r="M1093" s="20">
        <v>0</v>
      </c>
      <c r="N1093" s="20">
        <v>0</v>
      </c>
      <c r="O1093" s="20">
        <v>2000</v>
      </c>
      <c r="P1093" s="22">
        <v>0</v>
      </c>
      <c r="Q1093" s="22">
        <v>0</v>
      </c>
    </row>
    <row r="1094" spans="1:17" ht="20.25" customHeight="1">
      <c r="A1094" s="23"/>
      <c r="B1094" s="24"/>
      <c r="C1094" s="24"/>
      <c r="D1094" s="24"/>
      <c r="E1094" s="23"/>
      <c r="F1094" s="23"/>
      <c r="G1094" s="23"/>
      <c r="H1094" s="23"/>
      <c r="I1094" s="24"/>
      <c r="J1094" s="24"/>
      <c r="K1094" s="24"/>
      <c r="L1094" s="24"/>
      <c r="M1094" s="23"/>
      <c r="N1094" s="23"/>
      <c r="O1094" s="23"/>
      <c r="P1094" s="23"/>
      <c r="Q1094" s="23"/>
    </row>
    <row r="1095" spans="1:17" ht="12.75" customHeight="1">
      <c r="A1095" s="10"/>
      <c r="B1095" s="11" t="s">
        <v>716</v>
      </c>
      <c r="C1095" s="11"/>
      <c r="D1095" s="11"/>
      <c r="E1095" s="12">
        <f>ROUND(20000,2)</f>
        <v>20000</v>
      </c>
      <c r="F1095" s="12">
        <f aca="true" t="shared" si="622" ref="F1095:F1096">ROUND(0,2)</f>
        <v>0</v>
      </c>
      <c r="G1095" s="12">
        <f>ROUND(20000,2)</f>
        <v>20000</v>
      </c>
      <c r="H1095" s="12">
        <f aca="true" t="shared" si="623" ref="H1095:H1096">ROUND(0,2)</f>
        <v>0</v>
      </c>
      <c r="I1095" s="13">
        <f aca="true" t="shared" si="624" ref="I1095:I1096">ROUND(0,2)</f>
        <v>0</v>
      </c>
      <c r="J1095" s="13"/>
      <c r="K1095" s="13">
        <f aca="true" t="shared" si="625" ref="K1095:K1096">ROUND(0,2)</f>
        <v>0</v>
      </c>
      <c r="L1095" s="13"/>
      <c r="M1095" s="12">
        <f aca="true" t="shared" si="626" ref="M1095:M1096">ROUND(0,2)</f>
        <v>0</v>
      </c>
      <c r="N1095" s="12">
        <f aca="true" t="shared" si="627" ref="N1095:N1096">ROUND(0,2)</f>
        <v>0</v>
      </c>
      <c r="O1095" s="12">
        <f aca="true" t="shared" si="628" ref="O1095:O1096">ROUND(20000,2)</f>
        <v>20000</v>
      </c>
      <c r="P1095" s="14">
        <v>100</v>
      </c>
      <c r="Q1095" s="14">
        <v>0</v>
      </c>
    </row>
    <row r="1096" spans="1:17" ht="12.75" customHeight="1">
      <c r="A1096" s="15" t="s">
        <v>717</v>
      </c>
      <c r="B1096" s="15"/>
      <c r="C1096" s="15"/>
      <c r="D1096" s="15"/>
      <c r="E1096" s="16" t="s">
        <v>713</v>
      </c>
      <c r="F1096" s="17">
        <f t="shared" si="622"/>
        <v>0</v>
      </c>
      <c r="G1096" s="17">
        <f>ROUND(0,2)</f>
        <v>0</v>
      </c>
      <c r="H1096" s="17">
        <f t="shared" si="623"/>
        <v>0</v>
      </c>
      <c r="I1096" s="17">
        <f t="shared" si="624"/>
        <v>0</v>
      </c>
      <c r="J1096" s="17"/>
      <c r="K1096" s="17">
        <f t="shared" si="625"/>
        <v>0</v>
      </c>
      <c r="L1096" s="17"/>
      <c r="M1096" s="17">
        <f t="shared" si="626"/>
        <v>0</v>
      </c>
      <c r="N1096" s="17">
        <f t="shared" si="627"/>
        <v>0</v>
      </c>
      <c r="O1096" s="17">
        <f t="shared" si="628"/>
        <v>20000</v>
      </c>
      <c r="P1096" s="18">
        <v>0</v>
      </c>
      <c r="Q1096" s="18">
        <v>0</v>
      </c>
    </row>
    <row r="1097" spans="1:17" ht="12.75" customHeight="1">
      <c r="A1097" s="19" t="s">
        <v>37</v>
      </c>
      <c r="B1097" s="19"/>
      <c r="C1097" s="19"/>
      <c r="D1097" s="19"/>
      <c r="E1097" s="20">
        <f>SUM('DS1'!$A$284)</f>
        <v>20000</v>
      </c>
      <c r="F1097" s="20">
        <v>0</v>
      </c>
      <c r="G1097" s="20">
        <v>20000</v>
      </c>
      <c r="H1097" s="20">
        <v>0</v>
      </c>
      <c r="I1097" s="21">
        <v>0</v>
      </c>
      <c r="J1097" s="21"/>
      <c r="K1097" s="21">
        <v>0</v>
      </c>
      <c r="L1097" s="21"/>
      <c r="M1097" s="20">
        <v>0</v>
      </c>
      <c r="N1097" s="20">
        <v>0</v>
      </c>
      <c r="O1097" s="20">
        <v>20000</v>
      </c>
      <c r="P1097" s="22">
        <v>100</v>
      </c>
      <c r="Q1097" s="22">
        <v>0</v>
      </c>
    </row>
    <row r="1098" spans="1:17" ht="12.75" customHeight="1">
      <c r="A1098" s="23"/>
      <c r="B1098" s="24"/>
      <c r="C1098" s="24"/>
      <c r="D1098" s="24"/>
      <c r="E1098" s="23"/>
      <c r="F1098" s="20">
        <v>0</v>
      </c>
      <c r="G1098" s="20">
        <v>0</v>
      </c>
      <c r="H1098" s="20">
        <v>0</v>
      </c>
      <c r="I1098" s="21">
        <v>0</v>
      </c>
      <c r="J1098" s="21"/>
      <c r="K1098" s="21">
        <v>0</v>
      </c>
      <c r="L1098" s="21"/>
      <c r="M1098" s="20">
        <v>0</v>
      </c>
      <c r="N1098" s="20">
        <v>0</v>
      </c>
      <c r="O1098" s="20">
        <v>20000</v>
      </c>
      <c r="P1098" s="22">
        <v>0</v>
      </c>
      <c r="Q1098" s="22">
        <v>0</v>
      </c>
    </row>
    <row r="1099" spans="1:17" ht="20.25" customHeight="1">
      <c r="A1099" s="23"/>
      <c r="B1099" s="24"/>
      <c r="C1099" s="24"/>
      <c r="D1099" s="24"/>
      <c r="E1099" s="23"/>
      <c r="F1099" s="23"/>
      <c r="G1099" s="23"/>
      <c r="H1099" s="23"/>
      <c r="I1099" s="24"/>
      <c r="J1099" s="24"/>
      <c r="K1099" s="24"/>
      <c r="L1099" s="24"/>
      <c r="M1099" s="23"/>
      <c r="N1099" s="23"/>
      <c r="O1099" s="23"/>
      <c r="P1099" s="23"/>
      <c r="Q1099" s="23"/>
    </row>
    <row r="1100" spans="1:17" ht="12.75" customHeight="1">
      <c r="A1100" s="19" t="s">
        <v>718</v>
      </c>
      <c r="B1100" s="19"/>
      <c r="C1100" s="19"/>
      <c r="D1100" s="19"/>
      <c r="E1100" s="20">
        <f>SUM('DS1'!$A$281:$A$284)</f>
        <v>30000</v>
      </c>
      <c r="F1100" s="20">
        <v>0</v>
      </c>
      <c r="G1100" s="20">
        <v>30000</v>
      </c>
      <c r="H1100" s="20">
        <v>0</v>
      </c>
      <c r="I1100" s="21">
        <v>0</v>
      </c>
      <c r="J1100" s="21"/>
      <c r="K1100" s="21">
        <v>0</v>
      </c>
      <c r="L1100" s="21"/>
      <c r="M1100" s="20">
        <v>0</v>
      </c>
      <c r="N1100" s="20">
        <v>0</v>
      </c>
      <c r="O1100" s="20">
        <v>30000</v>
      </c>
      <c r="P1100" s="22">
        <v>100</v>
      </c>
      <c r="Q1100" s="22">
        <v>0</v>
      </c>
    </row>
    <row r="1101" spans="1:17" ht="12.75" customHeight="1">
      <c r="A1101" s="23"/>
      <c r="B1101" s="24"/>
      <c r="C1101" s="24"/>
      <c r="D1101" s="24"/>
      <c r="E1101" s="23"/>
      <c r="F1101" s="20">
        <v>0</v>
      </c>
      <c r="G1101" s="20">
        <v>0</v>
      </c>
      <c r="H1101" s="20">
        <v>0</v>
      </c>
      <c r="I1101" s="21">
        <v>0</v>
      </c>
      <c r="J1101" s="21"/>
      <c r="K1101" s="21">
        <v>0</v>
      </c>
      <c r="L1101" s="21"/>
      <c r="M1101" s="20">
        <v>0</v>
      </c>
      <c r="N1101" s="20">
        <v>0</v>
      </c>
      <c r="O1101" s="20">
        <v>30000</v>
      </c>
      <c r="P1101" s="22">
        <v>0</v>
      </c>
      <c r="Q1101" s="22">
        <v>0</v>
      </c>
    </row>
    <row r="1102" spans="1:17" ht="18" customHeight="1">
      <c r="A1102" s="23"/>
      <c r="B1102" s="24"/>
      <c r="C1102" s="24"/>
      <c r="D1102" s="24"/>
      <c r="E1102" s="23"/>
      <c r="F1102" s="23"/>
      <c r="G1102" s="23"/>
      <c r="H1102" s="23"/>
      <c r="I1102" s="24"/>
      <c r="J1102" s="24"/>
      <c r="K1102" s="24"/>
      <c r="L1102" s="24"/>
      <c r="M1102" s="23"/>
      <c r="N1102" s="23"/>
      <c r="O1102" s="23"/>
      <c r="P1102" s="23"/>
      <c r="Q1102" s="23"/>
    </row>
    <row r="1103" spans="1:17" ht="12.75" customHeight="1">
      <c r="A1103" s="10"/>
      <c r="B1103" s="11" t="s">
        <v>719</v>
      </c>
      <c r="C1103" s="11"/>
      <c r="D1103" s="11"/>
      <c r="E1103" s="12">
        <f>ROUND(16500,2)</f>
        <v>16500</v>
      </c>
      <c r="F1103" s="12">
        <f aca="true" t="shared" si="629" ref="F1103:F1104">ROUND(0,2)</f>
        <v>0</v>
      </c>
      <c r="G1103" s="12">
        <f>ROUND(16500,2)</f>
        <v>16500</v>
      </c>
      <c r="H1103" s="12">
        <f>ROUND(4936.44,2)</f>
        <v>4936.44</v>
      </c>
      <c r="I1103" s="13">
        <f>ROUND(4936.44,2)</f>
        <v>4936.44</v>
      </c>
      <c r="J1103" s="13"/>
      <c r="K1103" s="13">
        <f>ROUND(2468.22,2)</f>
        <v>2468.22</v>
      </c>
      <c r="L1103" s="13"/>
      <c r="M1103" s="12">
        <f>ROUND(2468.22,2)</f>
        <v>2468.22</v>
      </c>
      <c r="N1103" s="12">
        <f>ROUND(1645.48,2)</f>
        <v>1645.48</v>
      </c>
      <c r="O1103" s="12">
        <f>ROUND(11563.56,2)</f>
        <v>11563.56</v>
      </c>
      <c r="P1103" s="14">
        <v>70.08218181818181</v>
      </c>
      <c r="Q1103" s="14">
        <v>14.958909090909088</v>
      </c>
    </row>
    <row r="1104" spans="1:17" ht="12.75" customHeight="1">
      <c r="A1104" s="15" t="s">
        <v>720</v>
      </c>
      <c r="B1104" s="15"/>
      <c r="C1104" s="15"/>
      <c r="D1104" s="15"/>
      <c r="E1104" s="16" t="s">
        <v>721</v>
      </c>
      <c r="F1104" s="17">
        <f t="shared" si="629"/>
        <v>0</v>
      </c>
      <c r="G1104" s="17">
        <f>ROUND(0,2)</f>
        <v>0</v>
      </c>
      <c r="H1104" s="17">
        <f>ROUND(0,2)</f>
        <v>0</v>
      </c>
      <c r="I1104" s="17">
        <f>ROUND(2468.22,2)</f>
        <v>2468.22</v>
      </c>
      <c r="J1104" s="17"/>
      <c r="K1104" s="17">
        <f>ROUND(0,2)</f>
        <v>0</v>
      </c>
      <c r="L1104" s="17"/>
      <c r="M1104" s="17">
        <f>ROUND(822.74,2)</f>
        <v>822.74</v>
      </c>
      <c r="N1104" s="17">
        <f>ROUND(0,2)</f>
        <v>0</v>
      </c>
      <c r="O1104" s="17">
        <f>ROUND(14031.78,2)</f>
        <v>14031.78</v>
      </c>
      <c r="P1104" s="18">
        <v>29.917818181818177</v>
      </c>
      <c r="Q1104" s="18">
        <v>66.66666666666667</v>
      </c>
    </row>
    <row r="1105" spans="1:17" ht="12.75" customHeight="1">
      <c r="A1105" s="19" t="s">
        <v>271</v>
      </c>
      <c r="B1105" s="19"/>
      <c r="C1105" s="19"/>
      <c r="D1105" s="19"/>
      <c r="E1105" s="20">
        <f>SUM('DS1'!$A$285)</f>
        <v>16500</v>
      </c>
      <c r="F1105" s="20">
        <v>0</v>
      </c>
      <c r="G1105" s="20">
        <v>16500</v>
      </c>
      <c r="H1105" s="20">
        <v>4936.44</v>
      </c>
      <c r="I1105" s="21">
        <v>4936.44</v>
      </c>
      <c r="J1105" s="21"/>
      <c r="K1105" s="21">
        <v>2468.22</v>
      </c>
      <c r="L1105" s="21"/>
      <c r="M1105" s="20">
        <v>2468.22</v>
      </c>
      <c r="N1105" s="20">
        <v>1645.48</v>
      </c>
      <c r="O1105" s="20">
        <v>11563.56</v>
      </c>
      <c r="P1105" s="22">
        <v>70.08218181818181</v>
      </c>
      <c r="Q1105" s="22">
        <v>14.958909090909088</v>
      </c>
    </row>
    <row r="1106" spans="1:17" ht="12.75" customHeight="1">
      <c r="A1106" s="23"/>
      <c r="B1106" s="24"/>
      <c r="C1106" s="24"/>
      <c r="D1106" s="24"/>
      <c r="E1106" s="23"/>
      <c r="F1106" s="20">
        <v>0</v>
      </c>
      <c r="G1106" s="20">
        <v>0</v>
      </c>
      <c r="H1106" s="20">
        <v>0</v>
      </c>
      <c r="I1106" s="21">
        <v>2468.22</v>
      </c>
      <c r="J1106" s="21"/>
      <c r="K1106" s="21">
        <v>0</v>
      </c>
      <c r="L1106" s="21"/>
      <c r="M1106" s="20">
        <v>822.7399999999998</v>
      </c>
      <c r="N1106" s="20">
        <v>0</v>
      </c>
      <c r="O1106" s="20">
        <v>14031.78</v>
      </c>
      <c r="P1106" s="22">
        <v>29.917818181818177</v>
      </c>
      <c r="Q1106" s="22">
        <v>66.66666666666667</v>
      </c>
    </row>
    <row r="1107" spans="1:17" ht="20.25" customHeight="1">
      <c r="A1107" s="23"/>
      <c r="B1107" s="24"/>
      <c r="C1107" s="24"/>
      <c r="D1107" s="24"/>
      <c r="E1107" s="23"/>
      <c r="F1107" s="23"/>
      <c r="G1107" s="23"/>
      <c r="H1107" s="23"/>
      <c r="I1107" s="24"/>
      <c r="J1107" s="24"/>
      <c r="K1107" s="24"/>
      <c r="L1107" s="24"/>
      <c r="M1107" s="23"/>
      <c r="N1107" s="23"/>
      <c r="O1107" s="23"/>
      <c r="P1107" s="23"/>
      <c r="Q1107" s="23"/>
    </row>
    <row r="1108" spans="1:17" ht="12.75" customHeight="1">
      <c r="A1108" s="10"/>
      <c r="B1108" s="11" t="s">
        <v>722</v>
      </c>
      <c r="C1108" s="11"/>
      <c r="D1108" s="11"/>
      <c r="E1108" s="12">
        <f>ROUND(2000,2)</f>
        <v>2000</v>
      </c>
      <c r="F1108" s="12">
        <f aca="true" t="shared" si="630" ref="F1108:F1109">ROUND(0,2)</f>
        <v>0</v>
      </c>
      <c r="G1108" s="12">
        <f>ROUND(2000,2)</f>
        <v>2000</v>
      </c>
      <c r="H1108" s="12">
        <f aca="true" t="shared" si="631" ref="H1108:H1109">ROUND(0,2)</f>
        <v>0</v>
      </c>
      <c r="I1108" s="13">
        <f aca="true" t="shared" si="632" ref="I1108:I1109">ROUND(0,2)</f>
        <v>0</v>
      </c>
      <c r="J1108" s="13"/>
      <c r="K1108" s="13">
        <f aca="true" t="shared" si="633" ref="K1108:K1109">ROUND(0,2)</f>
        <v>0</v>
      </c>
      <c r="L1108" s="13"/>
      <c r="M1108" s="12">
        <f aca="true" t="shared" si="634" ref="M1108:M1109">ROUND(0,2)</f>
        <v>0</v>
      </c>
      <c r="N1108" s="12">
        <f aca="true" t="shared" si="635" ref="N1108:N1109">ROUND(0,2)</f>
        <v>0</v>
      </c>
      <c r="O1108" s="12">
        <f aca="true" t="shared" si="636" ref="O1108:O1109">ROUND(2000,2)</f>
        <v>2000</v>
      </c>
      <c r="P1108" s="14">
        <v>100</v>
      </c>
      <c r="Q1108" s="14">
        <v>0</v>
      </c>
    </row>
    <row r="1109" spans="1:17" ht="12.75" customHeight="1">
      <c r="A1109" s="15" t="s">
        <v>723</v>
      </c>
      <c r="B1109" s="15"/>
      <c r="C1109" s="15"/>
      <c r="D1109" s="15"/>
      <c r="E1109" s="16" t="s">
        <v>721</v>
      </c>
      <c r="F1109" s="17">
        <f t="shared" si="630"/>
        <v>0</v>
      </c>
      <c r="G1109" s="17">
        <f>ROUND(0,2)</f>
        <v>0</v>
      </c>
      <c r="H1109" s="17">
        <f t="shared" si="631"/>
        <v>0</v>
      </c>
      <c r="I1109" s="17">
        <f t="shared" si="632"/>
        <v>0</v>
      </c>
      <c r="J1109" s="17"/>
      <c r="K1109" s="17">
        <f t="shared" si="633"/>
        <v>0</v>
      </c>
      <c r="L1109" s="17"/>
      <c r="M1109" s="17">
        <f t="shared" si="634"/>
        <v>0</v>
      </c>
      <c r="N1109" s="17">
        <f t="shared" si="635"/>
        <v>0</v>
      </c>
      <c r="O1109" s="17">
        <f t="shared" si="636"/>
        <v>2000</v>
      </c>
      <c r="P1109" s="18">
        <v>0</v>
      </c>
      <c r="Q1109" s="18">
        <v>0</v>
      </c>
    </row>
    <row r="1110" spans="1:17" ht="12.75" customHeight="1">
      <c r="A1110" s="19" t="s">
        <v>304</v>
      </c>
      <c r="B1110" s="19"/>
      <c r="C1110" s="19"/>
      <c r="D1110" s="19"/>
      <c r="E1110" s="20">
        <f>SUM('DS1'!$A$286)</f>
        <v>2000</v>
      </c>
      <c r="F1110" s="20">
        <v>0</v>
      </c>
      <c r="G1110" s="20">
        <v>2000</v>
      </c>
      <c r="H1110" s="20">
        <v>0</v>
      </c>
      <c r="I1110" s="21">
        <v>0</v>
      </c>
      <c r="J1110" s="21"/>
      <c r="K1110" s="21">
        <v>0</v>
      </c>
      <c r="L1110" s="21"/>
      <c r="M1110" s="20">
        <v>0</v>
      </c>
      <c r="N1110" s="20">
        <v>0</v>
      </c>
      <c r="O1110" s="20">
        <v>2000</v>
      </c>
      <c r="P1110" s="22">
        <v>100</v>
      </c>
      <c r="Q1110" s="22">
        <v>0</v>
      </c>
    </row>
    <row r="1111" spans="1:17" ht="12.75" customHeight="1">
      <c r="A1111" s="23"/>
      <c r="B1111" s="24"/>
      <c r="C1111" s="24"/>
      <c r="D1111" s="24"/>
      <c r="E1111" s="23"/>
      <c r="F1111" s="20">
        <v>0</v>
      </c>
      <c r="G1111" s="20">
        <v>0</v>
      </c>
      <c r="H1111" s="20">
        <v>0</v>
      </c>
      <c r="I1111" s="21">
        <v>0</v>
      </c>
      <c r="J1111" s="21"/>
      <c r="K1111" s="21">
        <v>0</v>
      </c>
      <c r="L1111" s="21"/>
      <c r="M1111" s="20">
        <v>0</v>
      </c>
      <c r="N1111" s="20">
        <v>0</v>
      </c>
      <c r="O1111" s="20">
        <v>2000</v>
      </c>
      <c r="P1111" s="22">
        <v>0</v>
      </c>
      <c r="Q1111" s="22">
        <v>0</v>
      </c>
    </row>
    <row r="1112" spans="1:17" ht="20.25" customHeight="1">
      <c r="A1112" s="23"/>
      <c r="B1112" s="24"/>
      <c r="C1112" s="24"/>
      <c r="D1112" s="24"/>
      <c r="E1112" s="23"/>
      <c r="F1112" s="23"/>
      <c r="G1112" s="23"/>
      <c r="H1112" s="23"/>
      <c r="I1112" s="24"/>
      <c r="J1112" s="24"/>
      <c r="K1112" s="24"/>
      <c r="L1112" s="24"/>
      <c r="M1112" s="23"/>
      <c r="N1112" s="23"/>
      <c r="O1112" s="23"/>
      <c r="P1112" s="23"/>
      <c r="Q1112" s="23"/>
    </row>
    <row r="1113" spans="1:17" ht="12.75" customHeight="1">
      <c r="A1113" s="10"/>
      <c r="B1113" s="11" t="s">
        <v>724</v>
      </c>
      <c r="C1113" s="11"/>
      <c r="D1113" s="11"/>
      <c r="E1113" s="12">
        <f>ROUND(10000,2)</f>
        <v>10000</v>
      </c>
      <c r="F1113" s="12">
        <f aca="true" t="shared" si="637" ref="F1113:F1114">ROUND(0,2)</f>
        <v>0</v>
      </c>
      <c r="G1113" s="12">
        <f>ROUND(10000,2)</f>
        <v>10000</v>
      </c>
      <c r="H1113" s="12">
        <f aca="true" t="shared" si="638" ref="H1113:H1114">ROUND(0,2)</f>
        <v>0</v>
      </c>
      <c r="I1113" s="13">
        <f aca="true" t="shared" si="639" ref="I1113:I1114">ROUND(0,2)</f>
        <v>0</v>
      </c>
      <c r="J1113" s="13"/>
      <c r="K1113" s="13">
        <f aca="true" t="shared" si="640" ref="K1113:K1114">ROUND(0,2)</f>
        <v>0</v>
      </c>
      <c r="L1113" s="13"/>
      <c r="M1113" s="12">
        <f aca="true" t="shared" si="641" ref="M1113:M1114">ROUND(0,2)</f>
        <v>0</v>
      </c>
      <c r="N1113" s="12">
        <f aca="true" t="shared" si="642" ref="N1113:N1114">ROUND(0,2)</f>
        <v>0</v>
      </c>
      <c r="O1113" s="12">
        <f aca="true" t="shared" si="643" ref="O1113:O1114">ROUND(10000,2)</f>
        <v>10000</v>
      </c>
      <c r="P1113" s="14">
        <v>100</v>
      </c>
      <c r="Q1113" s="14">
        <v>0</v>
      </c>
    </row>
    <row r="1114" spans="1:17" ht="12.75" customHeight="1">
      <c r="A1114" s="15" t="s">
        <v>725</v>
      </c>
      <c r="B1114" s="15"/>
      <c r="C1114" s="15"/>
      <c r="D1114" s="15"/>
      <c r="E1114" s="16" t="s">
        <v>721</v>
      </c>
      <c r="F1114" s="17">
        <f t="shared" si="637"/>
        <v>0</v>
      </c>
      <c r="G1114" s="17">
        <f>ROUND(0,2)</f>
        <v>0</v>
      </c>
      <c r="H1114" s="17">
        <f t="shared" si="638"/>
        <v>0</v>
      </c>
      <c r="I1114" s="17">
        <f t="shared" si="639"/>
        <v>0</v>
      </c>
      <c r="J1114" s="17"/>
      <c r="K1114" s="17">
        <f t="shared" si="640"/>
        <v>0</v>
      </c>
      <c r="L1114" s="17"/>
      <c r="M1114" s="17">
        <f t="shared" si="641"/>
        <v>0</v>
      </c>
      <c r="N1114" s="17">
        <f t="shared" si="642"/>
        <v>0</v>
      </c>
      <c r="O1114" s="17">
        <f t="shared" si="643"/>
        <v>10000</v>
      </c>
      <c r="P1114" s="18">
        <v>0</v>
      </c>
      <c r="Q1114" s="18">
        <v>0</v>
      </c>
    </row>
    <row r="1115" spans="1:17" ht="12.75" customHeight="1">
      <c r="A1115" s="19" t="s">
        <v>726</v>
      </c>
      <c r="B1115" s="19"/>
      <c r="C1115" s="19"/>
      <c r="D1115" s="19"/>
      <c r="E1115" s="20">
        <f>SUM('DS1'!$A$287)</f>
        <v>10000</v>
      </c>
      <c r="F1115" s="20">
        <v>0</v>
      </c>
      <c r="G1115" s="20">
        <v>10000</v>
      </c>
      <c r="H1115" s="20">
        <v>0</v>
      </c>
      <c r="I1115" s="21">
        <v>0</v>
      </c>
      <c r="J1115" s="21"/>
      <c r="K1115" s="21">
        <v>0</v>
      </c>
      <c r="L1115" s="21"/>
      <c r="M1115" s="20">
        <v>0</v>
      </c>
      <c r="N1115" s="20">
        <v>0</v>
      </c>
      <c r="O1115" s="20">
        <v>10000</v>
      </c>
      <c r="P1115" s="22">
        <v>100</v>
      </c>
      <c r="Q1115" s="22">
        <v>0</v>
      </c>
    </row>
    <row r="1116" spans="1:17" ht="12.75" customHeight="1">
      <c r="A1116" s="23"/>
      <c r="B1116" s="24"/>
      <c r="C1116" s="24"/>
      <c r="D1116" s="24"/>
      <c r="E1116" s="23"/>
      <c r="F1116" s="20">
        <v>0</v>
      </c>
      <c r="G1116" s="20">
        <v>0</v>
      </c>
      <c r="H1116" s="20">
        <v>0</v>
      </c>
      <c r="I1116" s="21">
        <v>0</v>
      </c>
      <c r="J1116" s="21"/>
      <c r="K1116" s="21">
        <v>0</v>
      </c>
      <c r="L1116" s="21"/>
      <c r="M1116" s="20">
        <v>0</v>
      </c>
      <c r="N1116" s="20">
        <v>0</v>
      </c>
      <c r="O1116" s="20">
        <v>10000</v>
      </c>
      <c r="P1116" s="22">
        <v>0</v>
      </c>
      <c r="Q1116" s="22">
        <v>0</v>
      </c>
    </row>
    <row r="1117" spans="1:17" ht="20.25" customHeight="1">
      <c r="A1117" s="23"/>
      <c r="B1117" s="24"/>
      <c r="C1117" s="24"/>
      <c r="D1117" s="24"/>
      <c r="E1117" s="23"/>
      <c r="F1117" s="23"/>
      <c r="G1117" s="23"/>
      <c r="H1117" s="23"/>
      <c r="I1117" s="24"/>
      <c r="J1117" s="24"/>
      <c r="K1117" s="24"/>
      <c r="L1117" s="24"/>
      <c r="M1117" s="23"/>
      <c r="N1117" s="23"/>
      <c r="O1117" s="23"/>
      <c r="P1117" s="23"/>
      <c r="Q1117" s="23"/>
    </row>
    <row r="1118" spans="1:17" ht="12.75" customHeight="1">
      <c r="A1118" s="10"/>
      <c r="B1118" s="11" t="s">
        <v>727</v>
      </c>
      <c r="C1118" s="11"/>
      <c r="D1118" s="11"/>
      <c r="E1118" s="12">
        <f>ROUND(4800,2)</f>
        <v>4800</v>
      </c>
      <c r="F1118" s="12">
        <f aca="true" t="shared" si="644" ref="F1118:F1119">ROUND(0,2)</f>
        <v>0</v>
      </c>
      <c r="G1118" s="12">
        <f>ROUND(4800,2)</f>
        <v>4800</v>
      </c>
      <c r="H1118" s="12">
        <f aca="true" t="shared" si="645" ref="H1118:H1119">ROUND(0,2)</f>
        <v>0</v>
      </c>
      <c r="I1118" s="13">
        <f aca="true" t="shared" si="646" ref="I1118:I1119">ROUND(0,2)</f>
        <v>0</v>
      </c>
      <c r="J1118" s="13"/>
      <c r="K1118" s="13">
        <f aca="true" t="shared" si="647" ref="K1118:K1119">ROUND(0,2)</f>
        <v>0</v>
      </c>
      <c r="L1118" s="13"/>
      <c r="M1118" s="12">
        <f aca="true" t="shared" si="648" ref="M1118:M1119">ROUND(0,2)</f>
        <v>0</v>
      </c>
      <c r="N1118" s="12">
        <f aca="true" t="shared" si="649" ref="N1118:N1119">ROUND(0,2)</f>
        <v>0</v>
      </c>
      <c r="O1118" s="12">
        <f aca="true" t="shared" si="650" ref="O1118:O1119">ROUND(4800,2)</f>
        <v>4800</v>
      </c>
      <c r="P1118" s="14">
        <v>100</v>
      </c>
      <c r="Q1118" s="14">
        <v>0</v>
      </c>
    </row>
    <row r="1119" spans="1:17" ht="12.75" customHeight="1">
      <c r="A1119" s="15" t="s">
        <v>728</v>
      </c>
      <c r="B1119" s="15"/>
      <c r="C1119" s="15"/>
      <c r="D1119" s="15"/>
      <c r="E1119" s="16" t="s">
        <v>721</v>
      </c>
      <c r="F1119" s="17">
        <f t="shared" si="644"/>
        <v>0</v>
      </c>
      <c r="G1119" s="17">
        <f>ROUND(0,2)</f>
        <v>0</v>
      </c>
      <c r="H1119" s="17">
        <f t="shared" si="645"/>
        <v>0</v>
      </c>
      <c r="I1119" s="17">
        <f t="shared" si="646"/>
        <v>0</v>
      </c>
      <c r="J1119" s="17"/>
      <c r="K1119" s="17">
        <f t="shared" si="647"/>
        <v>0</v>
      </c>
      <c r="L1119" s="17"/>
      <c r="M1119" s="17">
        <f t="shared" si="648"/>
        <v>0</v>
      </c>
      <c r="N1119" s="17">
        <f t="shared" si="649"/>
        <v>0</v>
      </c>
      <c r="O1119" s="17">
        <f t="shared" si="650"/>
        <v>4800</v>
      </c>
      <c r="P1119" s="18">
        <v>0</v>
      </c>
      <c r="Q1119" s="18">
        <v>0</v>
      </c>
    </row>
    <row r="1120" spans="1:17" ht="12.75" customHeight="1">
      <c r="A1120" s="19" t="s">
        <v>373</v>
      </c>
      <c r="B1120" s="19"/>
      <c r="C1120" s="19"/>
      <c r="D1120" s="19"/>
      <c r="E1120" s="20">
        <f>SUM('DS1'!$A$288)</f>
        <v>4800</v>
      </c>
      <c r="F1120" s="20">
        <v>0</v>
      </c>
      <c r="G1120" s="20">
        <v>4800</v>
      </c>
      <c r="H1120" s="20">
        <v>0</v>
      </c>
      <c r="I1120" s="21">
        <v>0</v>
      </c>
      <c r="J1120" s="21"/>
      <c r="K1120" s="21">
        <v>0</v>
      </c>
      <c r="L1120" s="21"/>
      <c r="M1120" s="20">
        <v>0</v>
      </c>
      <c r="N1120" s="20">
        <v>0</v>
      </c>
      <c r="O1120" s="20">
        <v>4800</v>
      </c>
      <c r="P1120" s="22">
        <v>100</v>
      </c>
      <c r="Q1120" s="22">
        <v>0</v>
      </c>
    </row>
    <row r="1121" spans="1:17" ht="12.75" customHeight="1">
      <c r="A1121" s="23"/>
      <c r="B1121" s="24"/>
      <c r="C1121" s="24"/>
      <c r="D1121" s="24"/>
      <c r="E1121" s="23"/>
      <c r="F1121" s="20">
        <v>0</v>
      </c>
      <c r="G1121" s="20">
        <v>0</v>
      </c>
      <c r="H1121" s="20">
        <v>0</v>
      </c>
      <c r="I1121" s="21">
        <v>0</v>
      </c>
      <c r="J1121" s="21"/>
      <c r="K1121" s="21">
        <v>0</v>
      </c>
      <c r="L1121" s="21"/>
      <c r="M1121" s="20">
        <v>0</v>
      </c>
      <c r="N1121" s="20">
        <v>0</v>
      </c>
      <c r="O1121" s="20">
        <v>4800</v>
      </c>
      <c r="P1121" s="22">
        <v>0</v>
      </c>
      <c r="Q1121" s="22">
        <v>0</v>
      </c>
    </row>
    <row r="1122" spans="1:17" ht="20.25" customHeight="1">
      <c r="A1122" s="23"/>
      <c r="B1122" s="24"/>
      <c r="C1122" s="24"/>
      <c r="D1122" s="24"/>
      <c r="E1122" s="23"/>
      <c r="F1122" s="23"/>
      <c r="G1122" s="23"/>
      <c r="H1122" s="23"/>
      <c r="I1122" s="24"/>
      <c r="J1122" s="24"/>
      <c r="K1122" s="24"/>
      <c r="L1122" s="24"/>
      <c r="M1122" s="23"/>
      <c r="N1122" s="23"/>
      <c r="O1122" s="23"/>
      <c r="P1122" s="23"/>
      <c r="Q1122" s="23"/>
    </row>
    <row r="1123" spans="1:17" ht="12.75" customHeight="1">
      <c r="A1123" s="10"/>
      <c r="B1123" s="11" t="s">
        <v>729</v>
      </c>
      <c r="C1123" s="11"/>
      <c r="D1123" s="11"/>
      <c r="E1123" s="12">
        <f>ROUND(2000,2)</f>
        <v>2000</v>
      </c>
      <c r="F1123" s="12">
        <f aca="true" t="shared" si="651" ref="F1123:F1124">ROUND(0,2)</f>
        <v>0</v>
      </c>
      <c r="G1123" s="12">
        <f>ROUND(2000,2)</f>
        <v>2000</v>
      </c>
      <c r="H1123" s="12">
        <f>ROUND(3087.37,2)</f>
        <v>3087.37</v>
      </c>
      <c r="I1123" s="13">
        <f>ROUND(3087.37,2)</f>
        <v>3087.37</v>
      </c>
      <c r="J1123" s="13"/>
      <c r="K1123" s="13">
        <f>ROUND(3087.37,2)</f>
        <v>3087.37</v>
      </c>
      <c r="L1123" s="13"/>
      <c r="M1123" s="12">
        <f>ROUND(3087.37,2)</f>
        <v>3087.37</v>
      </c>
      <c r="N1123" s="12">
        <f>ROUND(2809.32,2)</f>
        <v>2809.32</v>
      </c>
      <c r="O1123" s="12">
        <f aca="true" t="shared" si="652" ref="O1123:O1124">ROUND(-1087.37,2)</f>
        <v>-1087.37</v>
      </c>
      <c r="P1123" s="14">
        <v>-54.3685</v>
      </c>
      <c r="Q1123" s="14">
        <v>154.36849999999998</v>
      </c>
    </row>
    <row r="1124" spans="1:17" ht="12.75" customHeight="1">
      <c r="A1124" s="15" t="s">
        <v>730</v>
      </c>
      <c r="B1124" s="15"/>
      <c r="C1124" s="15"/>
      <c r="D1124" s="15"/>
      <c r="E1124" s="16" t="s">
        <v>710</v>
      </c>
      <c r="F1124" s="17">
        <f t="shared" si="651"/>
        <v>0</v>
      </c>
      <c r="G1124" s="17">
        <f>ROUND(0,2)</f>
        <v>0</v>
      </c>
      <c r="H1124" s="17">
        <f>ROUND(0,2)</f>
        <v>0</v>
      </c>
      <c r="I1124" s="17">
        <f>ROUND(0,2)</f>
        <v>0</v>
      </c>
      <c r="J1124" s="17"/>
      <c r="K1124" s="17">
        <f>ROUND(0,2)</f>
        <v>0</v>
      </c>
      <c r="L1124" s="17"/>
      <c r="M1124" s="17">
        <f>ROUND(278.05,2)</f>
        <v>278.05</v>
      </c>
      <c r="N1124" s="17">
        <f>ROUND(0,2)</f>
        <v>0</v>
      </c>
      <c r="O1124" s="17">
        <f t="shared" si="652"/>
        <v>-1087.37</v>
      </c>
      <c r="P1124" s="18">
        <v>154.36849999999998</v>
      </c>
      <c r="Q1124" s="18">
        <v>90.99395278181754</v>
      </c>
    </row>
    <row r="1125" spans="1:17" ht="12.75" customHeight="1">
      <c r="A1125" s="19" t="s">
        <v>76</v>
      </c>
      <c r="B1125" s="19"/>
      <c r="C1125" s="19"/>
      <c r="D1125" s="19"/>
      <c r="E1125" s="20">
        <f>SUM('DS1'!$A$289)</f>
        <v>2000</v>
      </c>
      <c r="F1125" s="20">
        <v>0</v>
      </c>
      <c r="G1125" s="20">
        <v>2000</v>
      </c>
      <c r="H1125" s="20">
        <v>3087.37</v>
      </c>
      <c r="I1125" s="21">
        <v>3087.37</v>
      </c>
      <c r="J1125" s="21"/>
      <c r="K1125" s="21">
        <v>3087.37</v>
      </c>
      <c r="L1125" s="21"/>
      <c r="M1125" s="20">
        <v>3087.37</v>
      </c>
      <c r="N1125" s="20">
        <v>2809.32</v>
      </c>
      <c r="O1125" s="20">
        <v>-1087.37</v>
      </c>
      <c r="P1125" s="22">
        <v>-54.3685</v>
      </c>
      <c r="Q1125" s="22">
        <v>154.36849999999998</v>
      </c>
    </row>
    <row r="1126" spans="1:17" ht="12.75" customHeight="1">
      <c r="A1126" s="23"/>
      <c r="B1126" s="24"/>
      <c r="C1126" s="24"/>
      <c r="D1126" s="24"/>
      <c r="E1126" s="23"/>
      <c r="F1126" s="20">
        <v>0</v>
      </c>
      <c r="G1126" s="20">
        <v>0</v>
      </c>
      <c r="H1126" s="20">
        <v>0</v>
      </c>
      <c r="I1126" s="21">
        <v>0</v>
      </c>
      <c r="J1126" s="21"/>
      <c r="K1126" s="21">
        <v>0</v>
      </c>
      <c r="L1126" s="21"/>
      <c r="M1126" s="20">
        <v>278.0499999999997</v>
      </c>
      <c r="N1126" s="20">
        <v>0</v>
      </c>
      <c r="O1126" s="20">
        <v>-1087.37</v>
      </c>
      <c r="P1126" s="22">
        <v>154.36849999999998</v>
      </c>
      <c r="Q1126" s="22">
        <v>90.99395278181754</v>
      </c>
    </row>
    <row r="1127" spans="1:17" ht="20.25" customHeight="1">
      <c r="A1127" s="23"/>
      <c r="B1127" s="24"/>
      <c r="C1127" s="24"/>
      <c r="D1127" s="24"/>
      <c r="E1127" s="23"/>
      <c r="F1127" s="23"/>
      <c r="G1127" s="23"/>
      <c r="H1127" s="23"/>
      <c r="I1127" s="24"/>
      <c r="J1127" s="24"/>
      <c r="K1127" s="24"/>
      <c r="L1127" s="24"/>
      <c r="M1127" s="23"/>
      <c r="N1127" s="23"/>
      <c r="O1127" s="23"/>
      <c r="P1127" s="23"/>
      <c r="Q1127" s="23"/>
    </row>
    <row r="1128" spans="1:17" ht="12.75" customHeight="1">
      <c r="A1128" s="10"/>
      <c r="B1128" s="11" t="s">
        <v>731</v>
      </c>
      <c r="C1128" s="11"/>
      <c r="D1128" s="11"/>
      <c r="E1128" s="12">
        <f>ROUND(5000,2)</f>
        <v>5000</v>
      </c>
      <c r="F1128" s="12">
        <f aca="true" t="shared" si="653" ref="F1128:F1129">ROUND(0,2)</f>
        <v>0</v>
      </c>
      <c r="G1128" s="12">
        <f>ROUND(5000,2)</f>
        <v>5000</v>
      </c>
      <c r="H1128" s="12">
        <f>ROUND(5262.35,2)</f>
        <v>5262.35</v>
      </c>
      <c r="I1128" s="13">
        <f>ROUND(5262.35,2)</f>
        <v>5262.35</v>
      </c>
      <c r="J1128" s="13"/>
      <c r="K1128" s="13">
        <f>ROUND(5262.35,2)</f>
        <v>5262.35</v>
      </c>
      <c r="L1128" s="13"/>
      <c r="M1128" s="12">
        <f>ROUND(5262.35,2)</f>
        <v>5262.35</v>
      </c>
      <c r="N1128" s="12">
        <f>ROUND(4970.1,2)</f>
        <v>4970.1</v>
      </c>
      <c r="O1128" s="12">
        <f>ROUND(-262.35,2)</f>
        <v>-262.35</v>
      </c>
      <c r="P1128" s="14">
        <v>-5.247</v>
      </c>
      <c r="Q1128" s="14">
        <v>105.247</v>
      </c>
    </row>
    <row r="1129" spans="1:17" ht="12.75" customHeight="1">
      <c r="A1129" s="15" t="s">
        <v>732</v>
      </c>
      <c r="B1129" s="15"/>
      <c r="C1129" s="15"/>
      <c r="D1129" s="15"/>
      <c r="E1129" s="16" t="s">
        <v>710</v>
      </c>
      <c r="F1129" s="17">
        <f t="shared" si="653"/>
        <v>0</v>
      </c>
      <c r="G1129" s="17">
        <f>ROUND(0,2)</f>
        <v>0</v>
      </c>
      <c r="H1129" s="17">
        <f>ROUND(0,2)</f>
        <v>0</v>
      </c>
      <c r="I1129" s="17">
        <f>ROUND(0,2)</f>
        <v>0</v>
      </c>
      <c r="J1129" s="17"/>
      <c r="K1129" s="17">
        <f>ROUND(0,2)</f>
        <v>0</v>
      </c>
      <c r="L1129" s="17"/>
      <c r="M1129" s="17">
        <f>ROUND(292.25,2)</f>
        <v>292.25</v>
      </c>
      <c r="N1129" s="17">
        <f>ROUND(0,2)</f>
        <v>0</v>
      </c>
      <c r="O1129" s="17">
        <f>ROUND(-262.35,2)</f>
        <v>-262.35</v>
      </c>
      <c r="P1129" s="18">
        <v>105.247</v>
      </c>
      <c r="Q1129" s="18">
        <v>94.44639752201964</v>
      </c>
    </row>
    <row r="1130" spans="1:17" ht="12.75" customHeight="1">
      <c r="A1130" s="19" t="s">
        <v>79</v>
      </c>
      <c r="B1130" s="19"/>
      <c r="C1130" s="19"/>
      <c r="D1130" s="19"/>
      <c r="E1130" s="20">
        <f>SUM('DS1'!$A$290)</f>
        <v>5000</v>
      </c>
      <c r="F1130" s="20">
        <v>0</v>
      </c>
      <c r="G1130" s="20">
        <v>5000</v>
      </c>
      <c r="H1130" s="20">
        <v>5262.35</v>
      </c>
      <c r="I1130" s="21">
        <v>5262.35</v>
      </c>
      <c r="J1130" s="21"/>
      <c r="K1130" s="21">
        <v>5262.35</v>
      </c>
      <c r="L1130" s="21"/>
      <c r="M1130" s="20">
        <v>5262.35</v>
      </c>
      <c r="N1130" s="20">
        <v>4970.1</v>
      </c>
      <c r="O1130" s="20">
        <v>-262.35</v>
      </c>
      <c r="P1130" s="22">
        <v>-5.247</v>
      </c>
      <c r="Q1130" s="22">
        <v>105.247</v>
      </c>
    </row>
    <row r="1131" spans="1:17" ht="12.75" customHeight="1">
      <c r="A1131" s="23"/>
      <c r="B1131" s="24"/>
      <c r="C1131" s="24"/>
      <c r="D1131" s="24"/>
      <c r="E1131" s="23"/>
      <c r="F1131" s="20">
        <v>0</v>
      </c>
      <c r="G1131" s="20">
        <v>0</v>
      </c>
      <c r="H1131" s="20">
        <v>0</v>
      </c>
      <c r="I1131" s="21">
        <v>0</v>
      </c>
      <c r="J1131" s="21"/>
      <c r="K1131" s="21">
        <v>0</v>
      </c>
      <c r="L1131" s="21"/>
      <c r="M1131" s="20">
        <v>292.25</v>
      </c>
      <c r="N1131" s="20">
        <v>0</v>
      </c>
      <c r="O1131" s="20">
        <v>-262.35000000000036</v>
      </c>
      <c r="P1131" s="22">
        <v>105.247</v>
      </c>
      <c r="Q1131" s="22">
        <v>94.44639752201964</v>
      </c>
    </row>
    <row r="1132" spans="1:17" ht="20.25" customHeight="1">
      <c r="A1132" s="23"/>
      <c r="B1132" s="24"/>
      <c r="C1132" s="24"/>
      <c r="D1132" s="24"/>
      <c r="E1132" s="23"/>
      <c r="F1132" s="23"/>
      <c r="G1132" s="23"/>
      <c r="H1132" s="23"/>
      <c r="I1132" s="24"/>
      <c r="J1132" s="24"/>
      <c r="K1132" s="24"/>
      <c r="L1132" s="24"/>
      <c r="M1132" s="23"/>
      <c r="N1132" s="23"/>
      <c r="O1132" s="23"/>
      <c r="P1132" s="23"/>
      <c r="Q1132" s="23"/>
    </row>
    <row r="1133" spans="1:17" ht="12.75" customHeight="1">
      <c r="A1133" s="10"/>
      <c r="B1133" s="11" t="s">
        <v>733</v>
      </c>
      <c r="C1133" s="11"/>
      <c r="D1133" s="11"/>
      <c r="E1133" s="12">
        <f>ROUND(9000,2)</f>
        <v>9000</v>
      </c>
      <c r="F1133" s="12">
        <f aca="true" t="shared" si="654" ref="F1133:F1134">ROUND(0,2)</f>
        <v>0</v>
      </c>
      <c r="G1133" s="12">
        <f>ROUND(9000,2)</f>
        <v>9000</v>
      </c>
      <c r="H1133" s="12">
        <f>ROUND(1101.99,2)</f>
        <v>1101.99</v>
      </c>
      <c r="I1133" s="13">
        <f>ROUND(1101.99,2)</f>
        <v>1101.99</v>
      </c>
      <c r="J1133" s="13"/>
      <c r="K1133" s="13">
        <f>ROUND(1101.99,2)</f>
        <v>1101.99</v>
      </c>
      <c r="L1133" s="13"/>
      <c r="M1133" s="12">
        <f>ROUND(1101.99,2)</f>
        <v>1101.99</v>
      </c>
      <c r="N1133" s="12">
        <f>ROUND(774.83,2)</f>
        <v>774.83</v>
      </c>
      <c r="O1133" s="12">
        <f aca="true" t="shared" si="655" ref="O1133:O1134">ROUND(7898.01,2)</f>
        <v>7898.01</v>
      </c>
      <c r="P1133" s="14">
        <v>87.75566666666667</v>
      </c>
      <c r="Q1133" s="14">
        <v>12.244333333333334</v>
      </c>
    </row>
    <row r="1134" spans="1:17" ht="12.75" customHeight="1">
      <c r="A1134" s="15" t="s">
        <v>734</v>
      </c>
      <c r="B1134" s="15"/>
      <c r="C1134" s="15"/>
      <c r="D1134" s="15"/>
      <c r="E1134" s="16" t="s">
        <v>710</v>
      </c>
      <c r="F1134" s="17">
        <f t="shared" si="654"/>
        <v>0</v>
      </c>
      <c r="G1134" s="17">
        <f>ROUND(0,2)</f>
        <v>0</v>
      </c>
      <c r="H1134" s="17">
        <f>ROUND(0,2)</f>
        <v>0</v>
      </c>
      <c r="I1134" s="17">
        <f>ROUND(0,2)</f>
        <v>0</v>
      </c>
      <c r="J1134" s="17"/>
      <c r="K1134" s="17">
        <f>ROUND(0,2)</f>
        <v>0</v>
      </c>
      <c r="L1134" s="17"/>
      <c r="M1134" s="17">
        <f>ROUND(327.16,2)</f>
        <v>327.16</v>
      </c>
      <c r="N1134" s="17">
        <f>ROUND(0,2)</f>
        <v>0</v>
      </c>
      <c r="O1134" s="17">
        <f t="shared" si="655"/>
        <v>7898.01</v>
      </c>
      <c r="P1134" s="18">
        <v>12.244333333333334</v>
      </c>
      <c r="Q1134" s="18">
        <v>70.31189030753455</v>
      </c>
    </row>
    <row r="1135" spans="1:17" ht="12.75" customHeight="1">
      <c r="A1135" s="19" t="s">
        <v>82</v>
      </c>
      <c r="B1135" s="19"/>
      <c r="C1135" s="19"/>
      <c r="D1135" s="19"/>
      <c r="E1135" s="20">
        <f>SUM('DS1'!$A$291)</f>
        <v>9000</v>
      </c>
      <c r="F1135" s="20">
        <v>0</v>
      </c>
      <c r="G1135" s="20">
        <v>9000</v>
      </c>
      <c r="H1135" s="20">
        <v>1101.99</v>
      </c>
      <c r="I1135" s="21">
        <v>1101.99</v>
      </c>
      <c r="J1135" s="21"/>
      <c r="K1135" s="21">
        <v>1101.99</v>
      </c>
      <c r="L1135" s="21"/>
      <c r="M1135" s="20">
        <v>1101.99</v>
      </c>
      <c r="N1135" s="20">
        <v>774.83</v>
      </c>
      <c r="O1135" s="20">
        <v>7898.01</v>
      </c>
      <c r="P1135" s="22">
        <v>87.75566666666667</v>
      </c>
      <c r="Q1135" s="22">
        <v>12.244333333333334</v>
      </c>
    </row>
    <row r="1136" spans="1:17" ht="12.75" customHeight="1">
      <c r="A1136" s="23"/>
      <c r="B1136" s="24"/>
      <c r="C1136" s="24"/>
      <c r="D1136" s="24"/>
      <c r="E1136" s="23"/>
      <c r="F1136" s="20">
        <v>0</v>
      </c>
      <c r="G1136" s="20">
        <v>0</v>
      </c>
      <c r="H1136" s="20">
        <v>0</v>
      </c>
      <c r="I1136" s="21">
        <v>0</v>
      </c>
      <c r="J1136" s="21"/>
      <c r="K1136" s="21">
        <v>0</v>
      </c>
      <c r="L1136" s="21"/>
      <c r="M1136" s="20">
        <v>327.15999999999997</v>
      </c>
      <c r="N1136" s="20">
        <v>0</v>
      </c>
      <c r="O1136" s="20">
        <v>7898.01</v>
      </c>
      <c r="P1136" s="22">
        <v>12.244333333333334</v>
      </c>
      <c r="Q1136" s="22">
        <v>70.31189030753455</v>
      </c>
    </row>
    <row r="1137" spans="1:17" ht="20.25" customHeight="1">
      <c r="A1137" s="23"/>
      <c r="B1137" s="24"/>
      <c r="C1137" s="24"/>
      <c r="D1137" s="24"/>
      <c r="E1137" s="23"/>
      <c r="F1137" s="23"/>
      <c r="G1137" s="23"/>
      <c r="H1137" s="23"/>
      <c r="I1137" s="24"/>
      <c r="J1137" s="24"/>
      <c r="K1137" s="24"/>
      <c r="L1137" s="24"/>
      <c r="M1137" s="23"/>
      <c r="N1137" s="23"/>
      <c r="O1137" s="23"/>
      <c r="P1137" s="23"/>
      <c r="Q1137" s="23"/>
    </row>
    <row r="1138" spans="1:17" ht="12.75" customHeight="1">
      <c r="A1138" s="10"/>
      <c r="B1138" s="11" t="s">
        <v>735</v>
      </c>
      <c r="C1138" s="11"/>
      <c r="D1138" s="11"/>
      <c r="E1138" s="12">
        <f>ROUND(9000,2)</f>
        <v>9000</v>
      </c>
      <c r="F1138" s="12">
        <f aca="true" t="shared" si="656" ref="F1138:F1139">ROUND(0,2)</f>
        <v>0</v>
      </c>
      <c r="G1138" s="12">
        <f>ROUND(9000,2)</f>
        <v>9000</v>
      </c>
      <c r="H1138" s="12">
        <f>ROUND(7621.06,2)</f>
        <v>7621.06</v>
      </c>
      <c r="I1138" s="13">
        <f>ROUND(7621.06,2)</f>
        <v>7621.06</v>
      </c>
      <c r="J1138" s="13"/>
      <c r="K1138" s="13">
        <f>ROUND(7621.06,2)</f>
        <v>7621.06</v>
      </c>
      <c r="L1138" s="13"/>
      <c r="M1138" s="12">
        <f>ROUND(7621.06,2)</f>
        <v>7621.06</v>
      </c>
      <c r="N1138" s="12">
        <f>ROUND(7621.06,2)</f>
        <v>7621.06</v>
      </c>
      <c r="O1138" s="12">
        <f>ROUND(1378.94,2)</f>
        <v>1378.94</v>
      </c>
      <c r="P1138" s="14">
        <v>15.321555555555555</v>
      </c>
      <c r="Q1138" s="14">
        <v>84.67844444444445</v>
      </c>
    </row>
    <row r="1139" spans="1:17" ht="12.75" customHeight="1">
      <c r="A1139" s="15" t="s">
        <v>736</v>
      </c>
      <c r="B1139" s="15"/>
      <c r="C1139" s="15"/>
      <c r="D1139" s="15"/>
      <c r="E1139" s="16" t="s">
        <v>713</v>
      </c>
      <c r="F1139" s="17">
        <f t="shared" si="656"/>
        <v>0</v>
      </c>
      <c r="G1139" s="17">
        <f>ROUND(0,2)</f>
        <v>0</v>
      </c>
      <c r="H1139" s="17">
        <f>ROUND(0,2)</f>
        <v>0</v>
      </c>
      <c r="I1139" s="17">
        <f>ROUND(0,2)</f>
        <v>0</v>
      </c>
      <c r="J1139" s="17"/>
      <c r="K1139" s="17">
        <f>ROUND(0,2)</f>
        <v>0</v>
      </c>
      <c r="L1139" s="17"/>
      <c r="M1139" s="17">
        <f>ROUND(0,2)</f>
        <v>0</v>
      </c>
      <c r="N1139" s="17">
        <f>ROUND(0,2)</f>
        <v>0</v>
      </c>
      <c r="O1139" s="17">
        <f>ROUND(1378.94,2)</f>
        <v>1378.94</v>
      </c>
      <c r="P1139" s="18">
        <v>84.67844444444445</v>
      </c>
      <c r="Q1139" s="18">
        <v>100</v>
      </c>
    </row>
    <row r="1140" spans="1:17" ht="12.75" customHeight="1">
      <c r="A1140" s="19" t="s">
        <v>500</v>
      </c>
      <c r="B1140" s="19"/>
      <c r="C1140" s="19"/>
      <c r="D1140" s="19"/>
      <c r="E1140" s="20">
        <f>SUM('DS1'!$A$292)</f>
        <v>9000</v>
      </c>
      <c r="F1140" s="20">
        <v>0</v>
      </c>
      <c r="G1140" s="20">
        <v>9000</v>
      </c>
      <c r="H1140" s="20">
        <v>7621.06</v>
      </c>
      <c r="I1140" s="21">
        <v>7621.06</v>
      </c>
      <c r="J1140" s="21"/>
      <c r="K1140" s="21">
        <v>7621.06</v>
      </c>
      <c r="L1140" s="21"/>
      <c r="M1140" s="20">
        <v>7621.06</v>
      </c>
      <c r="N1140" s="20">
        <v>7621.06</v>
      </c>
      <c r="O1140" s="20">
        <v>1378.94</v>
      </c>
      <c r="P1140" s="22">
        <v>15.321555555555555</v>
      </c>
      <c r="Q1140" s="22">
        <v>84.67844444444445</v>
      </c>
    </row>
    <row r="1141" spans="1:17" ht="12.75" customHeight="1">
      <c r="A1141" s="23"/>
      <c r="B1141" s="24"/>
      <c r="C1141" s="24"/>
      <c r="D1141" s="24"/>
      <c r="E1141" s="23"/>
      <c r="F1141" s="20">
        <v>0</v>
      </c>
      <c r="G1141" s="20">
        <v>0</v>
      </c>
      <c r="H1141" s="20">
        <v>0</v>
      </c>
      <c r="I1141" s="21">
        <v>0</v>
      </c>
      <c r="J1141" s="21"/>
      <c r="K1141" s="21">
        <v>0</v>
      </c>
      <c r="L1141" s="21"/>
      <c r="M1141" s="20">
        <v>0</v>
      </c>
      <c r="N1141" s="20">
        <v>0</v>
      </c>
      <c r="O1141" s="20">
        <v>1378.9399999999996</v>
      </c>
      <c r="P1141" s="22">
        <v>84.67844444444445</v>
      </c>
      <c r="Q1141" s="22">
        <v>100</v>
      </c>
    </row>
    <row r="1142" spans="1:17" ht="20.25" customHeight="1">
      <c r="A1142" s="23"/>
      <c r="B1142" s="24"/>
      <c r="C1142" s="24"/>
      <c r="D1142" s="24"/>
      <c r="E1142" s="23"/>
      <c r="F1142" s="23"/>
      <c r="G1142" s="23"/>
      <c r="H1142" s="23"/>
      <c r="I1142" s="24"/>
      <c r="J1142" s="24"/>
      <c r="K1142" s="24"/>
      <c r="L1142" s="24"/>
      <c r="M1142" s="23"/>
      <c r="N1142" s="23"/>
      <c r="O1142" s="23"/>
      <c r="P1142" s="23"/>
      <c r="Q1142" s="23"/>
    </row>
    <row r="1143" spans="1:17" ht="12.75" customHeight="1">
      <c r="A1143" s="10"/>
      <c r="B1143" s="11" t="s">
        <v>737</v>
      </c>
      <c r="C1143" s="11"/>
      <c r="D1143" s="11"/>
      <c r="E1143" s="12">
        <f>ROUND(50000,2)</f>
        <v>50000</v>
      </c>
      <c r="F1143" s="12">
        <f aca="true" t="shared" si="657" ref="F1143:F1146">ROUND(0,2)</f>
        <v>0</v>
      </c>
      <c r="G1143" s="12">
        <f>ROUND(50000,2)</f>
        <v>50000</v>
      </c>
      <c r="H1143" s="12">
        <f>ROUND(38221.37,2)</f>
        <v>38221.37</v>
      </c>
      <c r="I1143" s="13">
        <f>ROUND(38221.37,2)</f>
        <v>38221.37</v>
      </c>
      <c r="J1143" s="13"/>
      <c r="K1143" s="13">
        <f>ROUND(38221.37,2)</f>
        <v>38221.37</v>
      </c>
      <c r="L1143" s="13"/>
      <c r="M1143" s="12">
        <f>ROUND(38221.37,2)</f>
        <v>38221.37</v>
      </c>
      <c r="N1143" s="12">
        <f>ROUND(37598.79,2)</f>
        <v>37598.79</v>
      </c>
      <c r="O1143" s="12">
        <f>ROUND(11778.63,2)</f>
        <v>11778.63</v>
      </c>
      <c r="P1143" s="14">
        <v>23.55726</v>
      </c>
      <c r="Q1143" s="14">
        <v>76.44274000000001</v>
      </c>
    </row>
    <row r="1144" spans="1:17" ht="12.75" customHeight="1">
      <c r="A1144" s="15" t="s">
        <v>738</v>
      </c>
      <c r="B1144" s="15"/>
      <c r="C1144" s="15"/>
      <c r="D1144" s="15"/>
      <c r="E1144" s="16" t="s">
        <v>713</v>
      </c>
      <c r="F1144" s="17">
        <f t="shared" si="657"/>
        <v>0</v>
      </c>
      <c r="G1144" s="17">
        <f>ROUND(0,2)</f>
        <v>0</v>
      </c>
      <c r="H1144" s="17">
        <f>ROUND(0,2)</f>
        <v>0</v>
      </c>
      <c r="I1144" s="17">
        <f>ROUND(0,2)</f>
        <v>0</v>
      </c>
      <c r="J1144" s="17"/>
      <c r="K1144" s="17">
        <f>ROUND(0,2)</f>
        <v>0</v>
      </c>
      <c r="L1144" s="17"/>
      <c r="M1144" s="17">
        <f>ROUND(622.580000000002,2)</f>
        <v>622.58</v>
      </c>
      <c r="N1144" s="17">
        <f>ROUND(0,2)</f>
        <v>0</v>
      </c>
      <c r="O1144" s="17">
        <f>ROUND(11778.63,2)</f>
        <v>11778.63</v>
      </c>
      <c r="P1144" s="18">
        <v>76.44274000000001</v>
      </c>
      <c r="Q1144" s="18">
        <v>98.371120658417</v>
      </c>
    </row>
    <row r="1145" spans="1:17" ht="12.75" customHeight="1">
      <c r="A1145" s="10"/>
      <c r="B1145" s="11" t="s">
        <v>739</v>
      </c>
      <c r="C1145" s="11"/>
      <c r="D1145" s="11"/>
      <c r="E1145" s="12">
        <f>ROUND(2000,2)</f>
        <v>2000</v>
      </c>
      <c r="F1145" s="12">
        <f t="shared" si="657"/>
        <v>0</v>
      </c>
      <c r="G1145" s="12">
        <f>ROUND(2000,2)</f>
        <v>2000</v>
      </c>
      <c r="H1145" s="12">
        <f>ROUND(10069.04,2)</f>
        <v>10069.04</v>
      </c>
      <c r="I1145" s="13">
        <f>ROUND(10069.04,2)</f>
        <v>10069.04</v>
      </c>
      <c r="J1145" s="13"/>
      <c r="K1145" s="13">
        <f>ROUND(10069.04,2)</f>
        <v>10069.04</v>
      </c>
      <c r="L1145" s="13"/>
      <c r="M1145" s="12">
        <f>ROUND(10069.04,2)</f>
        <v>10069.04</v>
      </c>
      <c r="N1145" s="12">
        <f>ROUND(9746.28,2)</f>
        <v>9746.28</v>
      </c>
      <c r="O1145" s="12">
        <f>ROUND(-8069.04,2)</f>
        <v>-8069.04</v>
      </c>
      <c r="P1145" s="14">
        <v>-403.45199999999994</v>
      </c>
      <c r="Q1145" s="14">
        <v>503.45200000000006</v>
      </c>
    </row>
    <row r="1146" spans="1:17" ht="12.75" customHeight="1">
      <c r="A1146" s="15" t="s">
        <v>740</v>
      </c>
      <c r="B1146" s="15"/>
      <c r="C1146" s="15"/>
      <c r="D1146" s="15"/>
      <c r="E1146" s="16" t="s">
        <v>713</v>
      </c>
      <c r="F1146" s="17">
        <f t="shared" si="657"/>
        <v>0</v>
      </c>
      <c r="G1146" s="17">
        <f>ROUND(0,2)</f>
        <v>0</v>
      </c>
      <c r="H1146" s="17">
        <f>ROUND(0,2)</f>
        <v>0</v>
      </c>
      <c r="I1146" s="17">
        <f>ROUND(0,2)</f>
        <v>0</v>
      </c>
      <c r="J1146" s="17"/>
      <c r="K1146" s="17">
        <f>ROUND(0,2)</f>
        <v>0</v>
      </c>
      <c r="L1146" s="17"/>
      <c r="M1146" s="17">
        <f>ROUND(322.76,2)</f>
        <v>322.76</v>
      </c>
      <c r="N1146" s="17">
        <f>ROUND(0,2)</f>
        <v>0</v>
      </c>
      <c r="O1146" s="17">
        <f>ROUND(-8069.04,2)</f>
        <v>-8069.04</v>
      </c>
      <c r="P1146" s="18">
        <v>503.45200000000006</v>
      </c>
      <c r="Q1146" s="18">
        <v>96.79453056100681</v>
      </c>
    </row>
    <row r="1147" spans="1:17" ht="12.75" customHeight="1">
      <c r="A1147" s="19" t="s">
        <v>92</v>
      </c>
      <c r="B1147" s="19"/>
      <c r="C1147" s="19"/>
      <c r="D1147" s="19"/>
      <c r="E1147" s="20">
        <f>SUM('DS1'!$A$293:$A$294)</f>
        <v>52000</v>
      </c>
      <c r="F1147" s="20">
        <v>0</v>
      </c>
      <c r="G1147" s="20">
        <v>52000</v>
      </c>
      <c r="H1147" s="20">
        <v>48290.41</v>
      </c>
      <c r="I1147" s="21">
        <v>48290.41</v>
      </c>
      <c r="J1147" s="21"/>
      <c r="K1147" s="21">
        <v>48290.41</v>
      </c>
      <c r="L1147" s="21"/>
      <c r="M1147" s="20">
        <v>48290.41</v>
      </c>
      <c r="N1147" s="20">
        <v>47345.07</v>
      </c>
      <c r="O1147" s="20">
        <v>3709.59</v>
      </c>
      <c r="P1147" s="22">
        <v>7.133826923076923</v>
      </c>
      <c r="Q1147" s="22">
        <v>92.86617307692309</v>
      </c>
    </row>
    <row r="1148" spans="1:17" ht="12.75" customHeight="1">
      <c r="A1148" s="23"/>
      <c r="B1148" s="24"/>
      <c r="C1148" s="24"/>
      <c r="D1148" s="24"/>
      <c r="E1148" s="23"/>
      <c r="F1148" s="20">
        <v>0</v>
      </c>
      <c r="G1148" s="20">
        <v>0</v>
      </c>
      <c r="H1148" s="20">
        <v>0</v>
      </c>
      <c r="I1148" s="21">
        <v>0</v>
      </c>
      <c r="J1148" s="21"/>
      <c r="K1148" s="21">
        <v>0</v>
      </c>
      <c r="L1148" s="21"/>
      <c r="M1148" s="20">
        <v>945.340000000002</v>
      </c>
      <c r="N1148" s="20">
        <v>0</v>
      </c>
      <c r="O1148" s="20">
        <v>3709.5899999999965</v>
      </c>
      <c r="P1148" s="22">
        <v>92.86617307692309</v>
      </c>
      <c r="Q1148" s="22">
        <v>98.04238564137268</v>
      </c>
    </row>
    <row r="1149" spans="1:17" ht="20.25" customHeight="1">
      <c r="A1149" s="23"/>
      <c r="B1149" s="24"/>
      <c r="C1149" s="24"/>
      <c r="D1149" s="24"/>
      <c r="E1149" s="23"/>
      <c r="F1149" s="23"/>
      <c r="G1149" s="23"/>
      <c r="H1149" s="23"/>
      <c r="I1149" s="24"/>
      <c r="J1149" s="24"/>
      <c r="K1149" s="24"/>
      <c r="L1149" s="24"/>
      <c r="M1149" s="23"/>
      <c r="N1149" s="23"/>
      <c r="O1149" s="23"/>
      <c r="P1149" s="23"/>
      <c r="Q1149" s="23"/>
    </row>
    <row r="1150" spans="1:17" ht="12.75" customHeight="1">
      <c r="A1150" s="10"/>
      <c r="B1150" s="11" t="s">
        <v>741</v>
      </c>
      <c r="C1150" s="11"/>
      <c r="D1150" s="11"/>
      <c r="E1150" s="12">
        <f>ROUND(7000,2)</f>
        <v>7000</v>
      </c>
      <c r="F1150" s="12">
        <f aca="true" t="shared" si="658" ref="F1150:F1151">ROUND(0,2)</f>
        <v>0</v>
      </c>
      <c r="G1150" s="12">
        <f>ROUND(7000,2)</f>
        <v>7000</v>
      </c>
      <c r="H1150" s="12">
        <f aca="true" t="shared" si="659" ref="H1150:H1151">ROUND(0,2)</f>
        <v>0</v>
      </c>
      <c r="I1150" s="13">
        <f aca="true" t="shared" si="660" ref="I1150:I1151">ROUND(0,2)</f>
        <v>0</v>
      </c>
      <c r="J1150" s="13"/>
      <c r="K1150" s="13">
        <f aca="true" t="shared" si="661" ref="K1150:K1151">ROUND(0,2)</f>
        <v>0</v>
      </c>
      <c r="L1150" s="13"/>
      <c r="M1150" s="12">
        <f aca="true" t="shared" si="662" ref="M1150:M1151">ROUND(0,2)</f>
        <v>0</v>
      </c>
      <c r="N1150" s="12">
        <f aca="true" t="shared" si="663" ref="N1150:N1151">ROUND(0,2)</f>
        <v>0</v>
      </c>
      <c r="O1150" s="12">
        <f aca="true" t="shared" si="664" ref="O1150:O1151">ROUND(7000,2)</f>
        <v>7000</v>
      </c>
      <c r="P1150" s="14">
        <v>100</v>
      </c>
      <c r="Q1150" s="14">
        <v>0</v>
      </c>
    </row>
    <row r="1151" spans="1:17" ht="12.75" customHeight="1">
      <c r="A1151" s="15" t="s">
        <v>742</v>
      </c>
      <c r="B1151" s="15"/>
      <c r="C1151" s="15"/>
      <c r="D1151" s="15"/>
      <c r="E1151" s="16" t="s">
        <v>713</v>
      </c>
      <c r="F1151" s="17">
        <f t="shared" si="658"/>
        <v>0</v>
      </c>
      <c r="G1151" s="17">
        <f>ROUND(0,2)</f>
        <v>0</v>
      </c>
      <c r="H1151" s="17">
        <f t="shared" si="659"/>
        <v>0</v>
      </c>
      <c r="I1151" s="17">
        <f t="shared" si="660"/>
        <v>0</v>
      </c>
      <c r="J1151" s="17"/>
      <c r="K1151" s="17">
        <f t="shared" si="661"/>
        <v>0</v>
      </c>
      <c r="L1151" s="17"/>
      <c r="M1151" s="17">
        <f t="shared" si="662"/>
        <v>0</v>
      </c>
      <c r="N1151" s="17">
        <f t="shared" si="663"/>
        <v>0</v>
      </c>
      <c r="O1151" s="17">
        <f t="shared" si="664"/>
        <v>7000</v>
      </c>
      <c r="P1151" s="18">
        <v>0</v>
      </c>
      <c r="Q1151" s="18">
        <v>0</v>
      </c>
    </row>
    <row r="1152" spans="1:17" ht="12.75" customHeight="1">
      <c r="A1152" s="19" t="s">
        <v>183</v>
      </c>
      <c r="B1152" s="19"/>
      <c r="C1152" s="19"/>
      <c r="D1152" s="19"/>
      <c r="E1152" s="20">
        <f>SUM('DS1'!$A$295)</f>
        <v>7000</v>
      </c>
      <c r="F1152" s="20">
        <v>0</v>
      </c>
      <c r="G1152" s="20">
        <v>7000</v>
      </c>
      <c r="H1152" s="20">
        <v>0</v>
      </c>
      <c r="I1152" s="21">
        <v>0</v>
      </c>
      <c r="J1152" s="21"/>
      <c r="K1152" s="21">
        <v>0</v>
      </c>
      <c r="L1152" s="21"/>
      <c r="M1152" s="20">
        <v>0</v>
      </c>
      <c r="N1152" s="20">
        <v>0</v>
      </c>
      <c r="O1152" s="20">
        <v>7000</v>
      </c>
      <c r="P1152" s="22">
        <v>100</v>
      </c>
      <c r="Q1152" s="22">
        <v>0</v>
      </c>
    </row>
    <row r="1153" spans="1:17" ht="12.75" customHeight="1">
      <c r="A1153" s="23"/>
      <c r="B1153" s="24"/>
      <c r="C1153" s="24"/>
      <c r="D1153" s="24"/>
      <c r="E1153" s="23"/>
      <c r="F1153" s="20">
        <v>0</v>
      </c>
      <c r="G1153" s="20">
        <v>0</v>
      </c>
      <c r="H1153" s="20">
        <v>0</v>
      </c>
      <c r="I1153" s="21">
        <v>0</v>
      </c>
      <c r="J1153" s="21"/>
      <c r="K1153" s="21">
        <v>0</v>
      </c>
      <c r="L1153" s="21"/>
      <c r="M1153" s="20">
        <v>0</v>
      </c>
      <c r="N1153" s="20">
        <v>0</v>
      </c>
      <c r="O1153" s="20">
        <v>7000</v>
      </c>
      <c r="P1153" s="22">
        <v>0</v>
      </c>
      <c r="Q1153" s="22">
        <v>0</v>
      </c>
    </row>
    <row r="1154" spans="1:17" ht="20.25" customHeight="1">
      <c r="A1154" s="23"/>
      <c r="B1154" s="24"/>
      <c r="C1154" s="24"/>
      <c r="D1154" s="24"/>
      <c r="E1154" s="23"/>
      <c r="F1154" s="23"/>
      <c r="G1154" s="23"/>
      <c r="H1154" s="23"/>
      <c r="I1154" s="24"/>
      <c r="J1154" s="24"/>
      <c r="K1154" s="24"/>
      <c r="L1154" s="24"/>
      <c r="M1154" s="23"/>
      <c r="N1154" s="23"/>
      <c r="O1154" s="23"/>
      <c r="P1154" s="23"/>
      <c r="Q1154" s="23"/>
    </row>
    <row r="1155" spans="1:17" ht="12.75" customHeight="1">
      <c r="A1155" s="10"/>
      <c r="B1155" s="11" t="s">
        <v>743</v>
      </c>
      <c r="C1155" s="11"/>
      <c r="D1155" s="11"/>
      <c r="E1155" s="12">
        <f>ROUND(0,2)</f>
        <v>0</v>
      </c>
      <c r="F1155" s="12">
        <f aca="true" t="shared" si="665" ref="F1155:F1158">ROUND(0,2)</f>
        <v>0</v>
      </c>
      <c r="G1155" s="12">
        <f aca="true" t="shared" si="666" ref="G1155:G1156">ROUND(0,2)</f>
        <v>0</v>
      </c>
      <c r="H1155" s="12">
        <f aca="true" t="shared" si="667" ref="H1155:H1158">ROUND(0,2)</f>
        <v>0</v>
      </c>
      <c r="I1155" s="13">
        <f aca="true" t="shared" si="668" ref="I1155:I1158">ROUND(0,2)</f>
        <v>0</v>
      </c>
      <c r="J1155" s="13"/>
      <c r="K1155" s="13">
        <f aca="true" t="shared" si="669" ref="K1155:K1158">ROUND(0,2)</f>
        <v>0</v>
      </c>
      <c r="L1155" s="13"/>
      <c r="M1155" s="12">
        <f aca="true" t="shared" si="670" ref="M1155:M1158">ROUND(0,2)</f>
        <v>0</v>
      </c>
      <c r="N1155" s="12">
        <f aca="true" t="shared" si="671" ref="N1155:N1158">ROUND(0,2)</f>
        <v>0</v>
      </c>
      <c r="O1155" s="12">
        <f aca="true" t="shared" si="672" ref="O1155:O1156">ROUND(0,2)</f>
        <v>0</v>
      </c>
      <c r="P1155" s="14">
        <v>0</v>
      </c>
      <c r="Q1155" s="14">
        <v>0</v>
      </c>
    </row>
    <row r="1156" spans="1:17" ht="12.75" customHeight="1">
      <c r="A1156" s="15" t="s">
        <v>744</v>
      </c>
      <c r="B1156" s="15"/>
      <c r="C1156" s="15"/>
      <c r="D1156" s="15"/>
      <c r="E1156" s="16" t="s">
        <v>713</v>
      </c>
      <c r="F1156" s="17">
        <f t="shared" si="665"/>
        <v>0</v>
      </c>
      <c r="G1156" s="17">
        <f t="shared" si="666"/>
        <v>0</v>
      </c>
      <c r="H1156" s="17">
        <f t="shared" si="667"/>
        <v>0</v>
      </c>
      <c r="I1156" s="17">
        <f t="shared" si="668"/>
        <v>0</v>
      </c>
      <c r="J1156" s="17"/>
      <c r="K1156" s="17">
        <f t="shared" si="669"/>
        <v>0</v>
      </c>
      <c r="L1156" s="17"/>
      <c r="M1156" s="17">
        <f t="shared" si="670"/>
        <v>0</v>
      </c>
      <c r="N1156" s="17">
        <f t="shared" si="671"/>
        <v>0</v>
      </c>
      <c r="O1156" s="17">
        <f t="shared" si="672"/>
        <v>0</v>
      </c>
      <c r="P1156" s="18">
        <v>0</v>
      </c>
      <c r="Q1156" s="18">
        <v>0</v>
      </c>
    </row>
    <row r="1157" spans="1:17" ht="12.75" customHeight="1">
      <c r="A1157" s="10"/>
      <c r="B1157" s="11" t="s">
        <v>745</v>
      </c>
      <c r="C1157" s="11"/>
      <c r="D1157" s="11"/>
      <c r="E1157" s="12">
        <f>ROUND(50000,2)</f>
        <v>50000</v>
      </c>
      <c r="F1157" s="12">
        <f t="shared" si="665"/>
        <v>0</v>
      </c>
      <c r="G1157" s="12">
        <f>ROUND(50000,2)</f>
        <v>50000</v>
      </c>
      <c r="H1157" s="12">
        <f t="shared" si="667"/>
        <v>0</v>
      </c>
      <c r="I1157" s="13">
        <f t="shared" si="668"/>
        <v>0</v>
      </c>
      <c r="J1157" s="13"/>
      <c r="K1157" s="13">
        <f t="shared" si="669"/>
        <v>0</v>
      </c>
      <c r="L1157" s="13"/>
      <c r="M1157" s="12">
        <f t="shared" si="670"/>
        <v>0</v>
      </c>
      <c r="N1157" s="12">
        <f t="shared" si="671"/>
        <v>0</v>
      </c>
      <c r="O1157" s="12">
        <f aca="true" t="shared" si="673" ref="O1157:O1158">ROUND(50000,2)</f>
        <v>50000</v>
      </c>
      <c r="P1157" s="14">
        <v>100</v>
      </c>
      <c r="Q1157" s="14">
        <v>0</v>
      </c>
    </row>
    <row r="1158" spans="1:17" ht="12.75" customHeight="1">
      <c r="A1158" s="15" t="s">
        <v>746</v>
      </c>
      <c r="B1158" s="15"/>
      <c r="C1158" s="15"/>
      <c r="D1158" s="15"/>
      <c r="E1158" s="16" t="s">
        <v>713</v>
      </c>
      <c r="F1158" s="17">
        <f t="shared" si="665"/>
        <v>0</v>
      </c>
      <c r="G1158" s="17">
        <f>ROUND(0,2)</f>
        <v>0</v>
      </c>
      <c r="H1158" s="17">
        <f t="shared" si="667"/>
        <v>0</v>
      </c>
      <c r="I1158" s="17">
        <f t="shared" si="668"/>
        <v>0</v>
      </c>
      <c r="J1158" s="17"/>
      <c r="K1158" s="17">
        <f t="shared" si="669"/>
        <v>0</v>
      </c>
      <c r="L1158" s="17"/>
      <c r="M1158" s="17">
        <f t="shared" si="670"/>
        <v>0</v>
      </c>
      <c r="N1158" s="17">
        <f t="shared" si="671"/>
        <v>0</v>
      </c>
      <c r="O1158" s="17">
        <f t="shared" si="673"/>
        <v>50000</v>
      </c>
      <c r="P1158" s="18">
        <v>0</v>
      </c>
      <c r="Q1158" s="18">
        <v>0</v>
      </c>
    </row>
    <row r="1159" spans="1:17" ht="12.75" customHeight="1">
      <c r="A1159" s="19" t="s">
        <v>124</v>
      </c>
      <c r="B1159" s="19"/>
      <c r="C1159" s="19"/>
      <c r="D1159" s="19"/>
      <c r="E1159" s="20">
        <f>SUM('DS1'!$A$296:$A$297)</f>
        <v>50000</v>
      </c>
      <c r="F1159" s="20">
        <v>0</v>
      </c>
      <c r="G1159" s="20">
        <v>50000</v>
      </c>
      <c r="H1159" s="20">
        <v>0</v>
      </c>
      <c r="I1159" s="21">
        <v>0</v>
      </c>
      <c r="J1159" s="21"/>
      <c r="K1159" s="21">
        <v>0</v>
      </c>
      <c r="L1159" s="21"/>
      <c r="M1159" s="20">
        <v>0</v>
      </c>
      <c r="N1159" s="20">
        <v>0</v>
      </c>
      <c r="O1159" s="20">
        <v>50000</v>
      </c>
      <c r="P1159" s="22">
        <v>100</v>
      </c>
      <c r="Q1159" s="22">
        <v>0</v>
      </c>
    </row>
    <row r="1160" spans="1:17" ht="12.75" customHeight="1">
      <c r="A1160" s="23"/>
      <c r="B1160" s="24"/>
      <c r="C1160" s="24"/>
      <c r="D1160" s="24"/>
      <c r="E1160" s="23"/>
      <c r="F1160" s="20">
        <v>0</v>
      </c>
      <c r="G1160" s="20">
        <v>0</v>
      </c>
      <c r="H1160" s="20">
        <v>0</v>
      </c>
      <c r="I1160" s="21">
        <v>0</v>
      </c>
      <c r="J1160" s="21"/>
      <c r="K1160" s="21">
        <v>0</v>
      </c>
      <c r="L1160" s="21"/>
      <c r="M1160" s="20">
        <v>0</v>
      </c>
      <c r="N1160" s="20">
        <v>0</v>
      </c>
      <c r="O1160" s="20">
        <v>50000</v>
      </c>
      <c r="P1160" s="22">
        <v>0</v>
      </c>
      <c r="Q1160" s="22">
        <v>0</v>
      </c>
    </row>
    <row r="1161" spans="1:17" ht="20.25" customHeight="1">
      <c r="A1161" s="23"/>
      <c r="B1161" s="24"/>
      <c r="C1161" s="24"/>
      <c r="D1161" s="24"/>
      <c r="E1161" s="23"/>
      <c r="F1161" s="23"/>
      <c r="G1161" s="23"/>
      <c r="H1161" s="23"/>
      <c r="I1161" s="24"/>
      <c r="J1161" s="24"/>
      <c r="K1161" s="24"/>
      <c r="L1161" s="24"/>
      <c r="M1161" s="23"/>
      <c r="N1161" s="23"/>
      <c r="O1161" s="23"/>
      <c r="P1161" s="23"/>
      <c r="Q1161" s="23"/>
    </row>
    <row r="1162" spans="1:17" ht="12.75" customHeight="1">
      <c r="A1162" s="10"/>
      <c r="B1162" s="11" t="s">
        <v>747</v>
      </c>
      <c r="C1162" s="11"/>
      <c r="D1162" s="11"/>
      <c r="E1162" s="12">
        <f>ROUND(500000,2)</f>
        <v>500000</v>
      </c>
      <c r="F1162" s="12">
        <f>ROUND(-140000,2)</f>
        <v>-140000</v>
      </c>
      <c r="G1162" s="12">
        <f>ROUND(360000,2)</f>
        <v>360000</v>
      </c>
      <c r="H1162" s="12">
        <f>ROUND(400088.58,2)</f>
        <v>400088.58</v>
      </c>
      <c r="I1162" s="13">
        <f>ROUND(400088.58,2)</f>
        <v>400088.58</v>
      </c>
      <c r="J1162" s="13"/>
      <c r="K1162" s="13">
        <f>ROUND(373936.5,2)</f>
        <v>373936.5</v>
      </c>
      <c r="L1162" s="13"/>
      <c r="M1162" s="12">
        <f>ROUND(373936.5,2)</f>
        <v>373936.5</v>
      </c>
      <c r="N1162" s="12">
        <f>ROUND(301425.27,2)</f>
        <v>301425.27</v>
      </c>
      <c r="O1162" s="12">
        <f>ROUND(-58320.04,2)</f>
        <v>-58320.04</v>
      </c>
      <c r="P1162" s="14">
        <v>-16.200011111111113</v>
      </c>
      <c r="Q1162" s="14">
        <v>103.87124999999999</v>
      </c>
    </row>
    <row r="1163" spans="1:17" ht="12.75" customHeight="1">
      <c r="A1163" s="15" t="s">
        <v>748</v>
      </c>
      <c r="B1163" s="15"/>
      <c r="C1163" s="15"/>
      <c r="D1163" s="15"/>
      <c r="E1163" s="16" t="s">
        <v>713</v>
      </c>
      <c r="F1163" s="17">
        <f>ROUND(0,2)</f>
        <v>0</v>
      </c>
      <c r="G1163" s="17">
        <f>ROUND(18231.46,2)</f>
        <v>18231.46</v>
      </c>
      <c r="H1163" s="17">
        <f>ROUND(0,2)</f>
        <v>0</v>
      </c>
      <c r="I1163" s="17">
        <f>ROUND(26152.08,2)</f>
        <v>26152.08</v>
      </c>
      <c r="J1163" s="17"/>
      <c r="K1163" s="17">
        <f>ROUND(0,2)</f>
        <v>0</v>
      </c>
      <c r="L1163" s="17"/>
      <c r="M1163" s="17">
        <f>ROUND(72511.23,2)</f>
        <v>72511.23</v>
      </c>
      <c r="N1163" s="17">
        <f>ROUND(0,2)</f>
        <v>0</v>
      </c>
      <c r="O1163" s="17">
        <f>ROUND(-13936.5,2)</f>
        <v>-13936.5</v>
      </c>
      <c r="P1163" s="18">
        <v>80.01771600000001</v>
      </c>
      <c r="Q1163" s="18">
        <v>80.60867821140756</v>
      </c>
    </row>
    <row r="1164" spans="1:17" ht="12.75" customHeight="1">
      <c r="A1164" s="10" t="s">
        <v>83</v>
      </c>
      <c r="B1164" s="11" t="s">
        <v>749</v>
      </c>
      <c r="C1164" s="11"/>
      <c r="D1164" s="11"/>
      <c r="E1164" s="12">
        <f>ROUND(0,2)</f>
        <v>0</v>
      </c>
      <c r="F1164" s="12">
        <f aca="true" t="shared" si="674" ref="F1164:F1165">ROUND(8000,2)</f>
        <v>8000</v>
      </c>
      <c r="G1164" s="12">
        <f>ROUND(8000,2)</f>
        <v>8000</v>
      </c>
      <c r="H1164" s="12">
        <f>ROUND(8000,2)</f>
        <v>8000</v>
      </c>
      <c r="I1164" s="13">
        <f>ROUND(8000,2)</f>
        <v>8000</v>
      </c>
      <c r="J1164" s="13"/>
      <c r="K1164" s="13">
        <f>ROUND(8000,2)</f>
        <v>8000</v>
      </c>
      <c r="L1164" s="13"/>
      <c r="M1164" s="12">
        <f>ROUND(8000,2)</f>
        <v>8000</v>
      </c>
      <c r="N1164" s="12">
        <f>ROUND(8000,2)</f>
        <v>8000</v>
      </c>
      <c r="O1164" s="12">
        <f aca="true" t="shared" si="675" ref="O1164:O1165">ROUND(0,2)</f>
        <v>0</v>
      </c>
      <c r="P1164" s="14">
        <v>0</v>
      </c>
      <c r="Q1164" s="14">
        <v>100</v>
      </c>
    </row>
    <row r="1165" spans="1:17" ht="12.75" customHeight="1">
      <c r="A1165" s="15" t="s">
        <v>750</v>
      </c>
      <c r="B1165" s="15"/>
      <c r="C1165" s="15"/>
      <c r="D1165" s="15"/>
      <c r="E1165" s="16" t="s">
        <v>751</v>
      </c>
      <c r="F1165" s="17">
        <f t="shared" si="674"/>
        <v>8000</v>
      </c>
      <c r="G1165" s="17">
        <f>ROUND(0,2)</f>
        <v>0</v>
      </c>
      <c r="H1165" s="17">
        <f>ROUND(0,2)</f>
        <v>0</v>
      </c>
      <c r="I1165" s="17">
        <f>ROUND(0,2)</f>
        <v>0</v>
      </c>
      <c r="J1165" s="17"/>
      <c r="K1165" s="17">
        <f>ROUND(0,2)</f>
        <v>0</v>
      </c>
      <c r="L1165" s="17"/>
      <c r="M1165" s="17">
        <f>ROUND(0,2)</f>
        <v>0</v>
      </c>
      <c r="N1165" s="17">
        <f>ROUND(0,2)</f>
        <v>0</v>
      </c>
      <c r="O1165" s="17">
        <f t="shared" si="675"/>
        <v>0</v>
      </c>
      <c r="P1165" s="18">
        <v>100</v>
      </c>
      <c r="Q1165" s="18">
        <v>100</v>
      </c>
    </row>
    <row r="1166" spans="1:17" ht="12.75" customHeight="1">
      <c r="A1166" s="19" t="s">
        <v>37</v>
      </c>
      <c r="B1166" s="19"/>
      <c r="C1166" s="19"/>
      <c r="D1166" s="19"/>
      <c r="E1166" s="20">
        <f>SUM('DS1'!$A$298:$A$299)</f>
        <v>500000</v>
      </c>
      <c r="F1166" s="20">
        <v>-132000</v>
      </c>
      <c r="G1166" s="20">
        <v>368000</v>
      </c>
      <c r="H1166" s="20">
        <v>408088.58</v>
      </c>
      <c r="I1166" s="21">
        <v>408088.58</v>
      </c>
      <c r="J1166" s="21"/>
      <c r="K1166" s="21">
        <v>381936.5</v>
      </c>
      <c r="L1166" s="21"/>
      <c r="M1166" s="20">
        <v>381936.5</v>
      </c>
      <c r="N1166" s="20">
        <v>309425.27</v>
      </c>
      <c r="O1166" s="20">
        <v>-58320.04</v>
      </c>
      <c r="P1166" s="22">
        <v>-15.847836956521737</v>
      </c>
      <c r="Q1166" s="22">
        <v>103.78709239130434</v>
      </c>
    </row>
    <row r="1167" spans="1:17" ht="12.75" customHeight="1">
      <c r="A1167" s="23"/>
      <c r="B1167" s="24"/>
      <c r="C1167" s="24"/>
      <c r="D1167" s="24"/>
      <c r="E1167" s="23"/>
      <c r="F1167" s="20">
        <v>8000</v>
      </c>
      <c r="G1167" s="20">
        <v>18231.459999999963</v>
      </c>
      <c r="H1167" s="20">
        <v>0</v>
      </c>
      <c r="I1167" s="21">
        <v>26152.080000000016</v>
      </c>
      <c r="J1167" s="21"/>
      <c r="K1167" s="21">
        <v>0</v>
      </c>
      <c r="L1167" s="21"/>
      <c r="M1167" s="20">
        <v>72511.22999999998</v>
      </c>
      <c r="N1167" s="20">
        <v>0</v>
      </c>
      <c r="O1167" s="20">
        <v>-13936.5</v>
      </c>
      <c r="P1167" s="22">
        <v>110.89363586956522</v>
      </c>
      <c r="Q1167" s="22">
        <v>81.01484670881155</v>
      </c>
    </row>
    <row r="1168" spans="1:17" ht="20.25" customHeight="1">
      <c r="A1168" s="23"/>
      <c r="B1168" s="24"/>
      <c r="C1168" s="24"/>
      <c r="D1168" s="24"/>
      <c r="E1168" s="23"/>
      <c r="F1168" s="23"/>
      <c r="G1168" s="23"/>
      <c r="H1168" s="23"/>
      <c r="I1168" s="24"/>
      <c r="J1168" s="24"/>
      <c r="K1168" s="24"/>
      <c r="L1168" s="24"/>
      <c r="M1168" s="23"/>
      <c r="N1168" s="23"/>
      <c r="O1168" s="23"/>
      <c r="P1168" s="23"/>
      <c r="Q1168" s="23"/>
    </row>
    <row r="1169" spans="1:17" ht="12.75" customHeight="1">
      <c r="A1169" s="10"/>
      <c r="B1169" s="11" t="s">
        <v>752</v>
      </c>
      <c r="C1169" s="11"/>
      <c r="D1169" s="11"/>
      <c r="E1169" s="12">
        <f>ROUND(100000,2)</f>
        <v>100000</v>
      </c>
      <c r="F1169" s="12">
        <f aca="true" t="shared" si="676" ref="F1169:F1170">ROUND(0,2)</f>
        <v>0</v>
      </c>
      <c r="G1169" s="12">
        <f>ROUND(100000,2)</f>
        <v>100000</v>
      </c>
      <c r="H1169" s="12">
        <f aca="true" t="shared" si="677" ref="H1169:H1170">ROUND(0,2)</f>
        <v>0</v>
      </c>
      <c r="I1169" s="13">
        <f aca="true" t="shared" si="678" ref="I1169:I1170">ROUND(0,2)</f>
        <v>0</v>
      </c>
      <c r="J1169" s="13"/>
      <c r="K1169" s="13">
        <f aca="true" t="shared" si="679" ref="K1169:K1170">ROUND(0,2)</f>
        <v>0</v>
      </c>
      <c r="L1169" s="13"/>
      <c r="M1169" s="12">
        <f aca="true" t="shared" si="680" ref="M1169:M1170">ROUND(0,2)</f>
        <v>0</v>
      </c>
      <c r="N1169" s="12">
        <f aca="true" t="shared" si="681" ref="N1169:N1170">ROUND(0,2)</f>
        <v>0</v>
      </c>
      <c r="O1169" s="12">
        <f aca="true" t="shared" si="682" ref="O1169:O1170">ROUND(100000,2)</f>
        <v>100000</v>
      </c>
      <c r="P1169" s="14">
        <v>100</v>
      </c>
      <c r="Q1169" s="14">
        <v>0</v>
      </c>
    </row>
    <row r="1170" spans="1:17" ht="12.75" customHeight="1">
      <c r="A1170" s="15" t="s">
        <v>753</v>
      </c>
      <c r="B1170" s="15"/>
      <c r="C1170" s="15"/>
      <c r="D1170" s="15"/>
      <c r="E1170" s="16" t="s">
        <v>754</v>
      </c>
      <c r="F1170" s="17">
        <f t="shared" si="676"/>
        <v>0</v>
      </c>
      <c r="G1170" s="17">
        <f>ROUND(0,2)</f>
        <v>0</v>
      </c>
      <c r="H1170" s="17">
        <f t="shared" si="677"/>
        <v>0</v>
      </c>
      <c r="I1170" s="17">
        <f t="shared" si="678"/>
        <v>0</v>
      </c>
      <c r="J1170" s="17"/>
      <c r="K1170" s="17">
        <f t="shared" si="679"/>
        <v>0</v>
      </c>
      <c r="L1170" s="17"/>
      <c r="M1170" s="17">
        <f t="shared" si="680"/>
        <v>0</v>
      </c>
      <c r="N1170" s="17">
        <f t="shared" si="681"/>
        <v>0</v>
      </c>
      <c r="O1170" s="17">
        <f t="shared" si="682"/>
        <v>100000</v>
      </c>
      <c r="P1170" s="18">
        <v>0</v>
      </c>
      <c r="Q1170" s="18">
        <v>0</v>
      </c>
    </row>
    <row r="1171" spans="1:17" ht="12.75" customHeight="1">
      <c r="A1171" s="19" t="s">
        <v>461</v>
      </c>
      <c r="B1171" s="19"/>
      <c r="C1171" s="19"/>
      <c r="D1171" s="19"/>
      <c r="E1171" s="20">
        <f>SUM('DS1'!$A$300)</f>
        <v>100000</v>
      </c>
      <c r="F1171" s="20">
        <v>0</v>
      </c>
      <c r="G1171" s="20">
        <v>100000</v>
      </c>
      <c r="H1171" s="20">
        <v>0</v>
      </c>
      <c r="I1171" s="21">
        <v>0</v>
      </c>
      <c r="J1171" s="21"/>
      <c r="K1171" s="21">
        <v>0</v>
      </c>
      <c r="L1171" s="21"/>
      <c r="M1171" s="20">
        <v>0</v>
      </c>
      <c r="N1171" s="20">
        <v>0</v>
      </c>
      <c r="O1171" s="20">
        <v>100000</v>
      </c>
      <c r="P1171" s="22">
        <v>100</v>
      </c>
      <c r="Q1171" s="22">
        <v>0</v>
      </c>
    </row>
    <row r="1172" spans="1:17" ht="12.75" customHeight="1">
      <c r="A1172" s="23"/>
      <c r="B1172" s="24"/>
      <c r="C1172" s="24"/>
      <c r="D1172" s="24"/>
      <c r="E1172" s="23"/>
      <c r="F1172" s="20">
        <v>0</v>
      </c>
      <c r="G1172" s="20">
        <v>0</v>
      </c>
      <c r="H1172" s="20">
        <v>0</v>
      </c>
      <c r="I1172" s="21">
        <v>0</v>
      </c>
      <c r="J1172" s="21"/>
      <c r="K1172" s="21">
        <v>0</v>
      </c>
      <c r="L1172" s="21"/>
      <c r="M1172" s="20">
        <v>0</v>
      </c>
      <c r="N1172" s="20">
        <v>0</v>
      </c>
      <c r="O1172" s="20">
        <v>100000</v>
      </c>
      <c r="P1172" s="22">
        <v>0</v>
      </c>
      <c r="Q1172" s="22">
        <v>0</v>
      </c>
    </row>
    <row r="1173" spans="1:17" ht="20.25" customHeight="1">
      <c r="A1173" s="23"/>
      <c r="B1173" s="24"/>
      <c r="C1173" s="24"/>
      <c r="D1173" s="24"/>
      <c r="E1173" s="23"/>
      <c r="F1173" s="23"/>
      <c r="G1173" s="23"/>
      <c r="H1173" s="23"/>
      <c r="I1173" s="24"/>
      <c r="J1173" s="24"/>
      <c r="K1173" s="24"/>
      <c r="L1173" s="24"/>
      <c r="M1173" s="23"/>
      <c r="N1173" s="23"/>
      <c r="O1173" s="23"/>
      <c r="P1173" s="23"/>
      <c r="Q1173" s="23"/>
    </row>
    <row r="1174" spans="1:17" ht="12.75" customHeight="1">
      <c r="A1174" s="19" t="s">
        <v>755</v>
      </c>
      <c r="B1174" s="19"/>
      <c r="C1174" s="19"/>
      <c r="D1174" s="19"/>
      <c r="E1174" s="20">
        <f>SUM('DS1'!$A$285:$A$300)</f>
        <v>767300</v>
      </c>
      <c r="F1174" s="20">
        <v>-132000</v>
      </c>
      <c r="G1174" s="20">
        <v>635300</v>
      </c>
      <c r="H1174" s="20">
        <v>478388.2</v>
      </c>
      <c r="I1174" s="21">
        <v>478388.2</v>
      </c>
      <c r="J1174" s="21"/>
      <c r="K1174" s="21">
        <v>449767.9</v>
      </c>
      <c r="L1174" s="21"/>
      <c r="M1174" s="20">
        <v>449767.9</v>
      </c>
      <c r="N1174" s="20">
        <v>374591.13</v>
      </c>
      <c r="O1174" s="20">
        <v>138680.34</v>
      </c>
      <c r="P1174" s="22">
        <v>21.82911065638281</v>
      </c>
      <c r="Q1174" s="22">
        <v>70.79614355422635</v>
      </c>
    </row>
    <row r="1175" spans="1:17" ht="12.75" customHeight="1">
      <c r="A1175" s="23"/>
      <c r="B1175" s="24"/>
      <c r="C1175" s="24"/>
      <c r="D1175" s="24"/>
      <c r="E1175" s="23"/>
      <c r="F1175" s="20">
        <v>8000</v>
      </c>
      <c r="G1175" s="20">
        <v>18231.459999999963</v>
      </c>
      <c r="H1175" s="20">
        <v>0</v>
      </c>
      <c r="I1175" s="21">
        <v>28620.300000000017</v>
      </c>
      <c r="J1175" s="21"/>
      <c r="K1175" s="21">
        <v>0</v>
      </c>
      <c r="L1175" s="21"/>
      <c r="M1175" s="20">
        <v>75176.76999999999</v>
      </c>
      <c r="N1175" s="20">
        <v>0</v>
      </c>
      <c r="O1175" s="20">
        <v>185532.1</v>
      </c>
      <c r="P1175" s="22">
        <v>75.30114906343461</v>
      </c>
      <c r="Q1175" s="22">
        <v>83.28543010739538</v>
      </c>
    </row>
    <row r="1176" spans="1:17" ht="18" customHeight="1">
      <c r="A1176" s="23"/>
      <c r="B1176" s="24"/>
      <c r="C1176" s="24"/>
      <c r="D1176" s="24"/>
      <c r="E1176" s="23"/>
      <c r="F1176" s="23"/>
      <c r="G1176" s="23"/>
      <c r="H1176" s="23"/>
      <c r="I1176" s="24"/>
      <c r="J1176" s="24"/>
      <c r="K1176" s="24"/>
      <c r="L1176" s="24"/>
      <c r="M1176" s="23"/>
      <c r="N1176" s="23"/>
      <c r="O1176" s="23"/>
      <c r="P1176" s="23"/>
      <c r="Q1176" s="23"/>
    </row>
    <row r="1177" spans="1:17" ht="12.75" customHeight="1">
      <c r="A1177" s="10"/>
      <c r="B1177" s="11" t="s">
        <v>756</v>
      </c>
      <c r="C1177" s="11"/>
      <c r="D1177" s="11"/>
      <c r="E1177" s="12">
        <f>ROUND(147455.84,2)</f>
        <v>147455.84</v>
      </c>
      <c r="F1177" s="12">
        <f>ROUND(1327.1,2)</f>
        <v>1327.1</v>
      </c>
      <c r="G1177" s="12">
        <f>ROUND(148782.94,2)</f>
        <v>148782.94</v>
      </c>
      <c r="H1177" s="12">
        <f>ROUND(129651.29,2)</f>
        <v>129651.29</v>
      </c>
      <c r="I1177" s="13">
        <f>ROUND(129651.29,2)</f>
        <v>129651.29</v>
      </c>
      <c r="J1177" s="13"/>
      <c r="K1177" s="13">
        <f>ROUND(129651.29,2)</f>
        <v>129651.29</v>
      </c>
      <c r="L1177" s="13"/>
      <c r="M1177" s="12">
        <f>ROUND(129651.29,2)</f>
        <v>129651.29</v>
      </c>
      <c r="N1177" s="12">
        <f>ROUND(129651.29,2)</f>
        <v>129651.29</v>
      </c>
      <c r="O1177" s="12">
        <f>ROUND(19131.65,2)</f>
        <v>19131.65</v>
      </c>
      <c r="P1177" s="14">
        <v>12.858765931093982</v>
      </c>
      <c r="Q1177" s="14">
        <v>87.14123406890602</v>
      </c>
    </row>
    <row r="1178" spans="1:17" ht="12.75" customHeight="1">
      <c r="A1178" s="15" t="s">
        <v>757</v>
      </c>
      <c r="B1178" s="15"/>
      <c r="C1178" s="15"/>
      <c r="D1178" s="15"/>
      <c r="E1178" s="16" t="s">
        <v>572</v>
      </c>
      <c r="F1178" s="17">
        <f>ROUND(0,2)</f>
        <v>0</v>
      </c>
      <c r="G1178" s="17">
        <f>ROUND(0,2)</f>
        <v>0</v>
      </c>
      <c r="H1178" s="17">
        <f>ROUND(0,2)</f>
        <v>0</v>
      </c>
      <c r="I1178" s="17">
        <f>ROUND(0,2)</f>
        <v>0</v>
      </c>
      <c r="J1178" s="17"/>
      <c r="K1178" s="17">
        <f>ROUND(0,2)</f>
        <v>0</v>
      </c>
      <c r="L1178" s="17"/>
      <c r="M1178" s="17">
        <f>ROUND(0,2)</f>
        <v>0</v>
      </c>
      <c r="N1178" s="17">
        <f>ROUND(0,2)</f>
        <v>0</v>
      </c>
      <c r="O1178" s="17">
        <f>ROUND(19131.65,2)</f>
        <v>19131.65</v>
      </c>
      <c r="P1178" s="18">
        <v>87.14123406890602</v>
      </c>
      <c r="Q1178" s="18">
        <v>100</v>
      </c>
    </row>
    <row r="1179" spans="1:17" ht="12.75" customHeight="1">
      <c r="A1179" s="19" t="s">
        <v>60</v>
      </c>
      <c r="B1179" s="19"/>
      <c r="C1179" s="19"/>
      <c r="D1179" s="19"/>
      <c r="E1179" s="20">
        <f>SUM('DS1'!$A$301)</f>
        <v>147455.84</v>
      </c>
      <c r="F1179" s="20">
        <v>1327.1</v>
      </c>
      <c r="G1179" s="20">
        <v>148782.94</v>
      </c>
      <c r="H1179" s="20">
        <v>129651.29</v>
      </c>
      <c r="I1179" s="21">
        <v>129651.29</v>
      </c>
      <c r="J1179" s="21"/>
      <c r="K1179" s="21">
        <v>129651.29</v>
      </c>
      <c r="L1179" s="21"/>
      <c r="M1179" s="20">
        <v>129651.29</v>
      </c>
      <c r="N1179" s="20">
        <v>129651.29</v>
      </c>
      <c r="O1179" s="20">
        <v>19131.65</v>
      </c>
      <c r="P1179" s="22">
        <v>12.858765931093982</v>
      </c>
      <c r="Q1179" s="22">
        <v>87.14123406890602</v>
      </c>
    </row>
    <row r="1180" spans="1:17" ht="12.75" customHeight="1">
      <c r="A1180" s="23"/>
      <c r="B1180" s="24"/>
      <c r="C1180" s="24"/>
      <c r="D1180" s="24"/>
      <c r="E1180" s="23"/>
      <c r="F1180" s="20">
        <v>0</v>
      </c>
      <c r="G1180" s="20">
        <v>0</v>
      </c>
      <c r="H1180" s="20">
        <v>0</v>
      </c>
      <c r="I1180" s="21">
        <v>0</v>
      </c>
      <c r="J1180" s="21"/>
      <c r="K1180" s="21">
        <v>0</v>
      </c>
      <c r="L1180" s="21"/>
      <c r="M1180" s="20">
        <v>0</v>
      </c>
      <c r="N1180" s="20">
        <v>0</v>
      </c>
      <c r="O1180" s="20">
        <v>19131.65000000001</v>
      </c>
      <c r="P1180" s="22">
        <v>87.14123406890602</v>
      </c>
      <c r="Q1180" s="22">
        <v>100</v>
      </c>
    </row>
    <row r="1181" spans="1:17" ht="20.25" customHeight="1">
      <c r="A1181" s="23"/>
      <c r="B1181" s="24"/>
      <c r="C1181" s="24"/>
      <c r="D1181" s="24"/>
      <c r="E1181" s="23"/>
      <c r="F1181" s="23"/>
      <c r="G1181" s="23"/>
      <c r="H1181" s="23"/>
      <c r="I1181" s="24"/>
      <c r="J1181" s="24"/>
      <c r="K1181" s="24"/>
      <c r="L1181" s="24"/>
      <c r="M1181" s="23"/>
      <c r="N1181" s="23"/>
      <c r="O1181" s="23"/>
      <c r="P1181" s="23"/>
      <c r="Q1181" s="23"/>
    </row>
    <row r="1182" spans="1:17" ht="12.75" customHeight="1">
      <c r="A1182" s="10"/>
      <c r="B1182" s="11" t="s">
        <v>758</v>
      </c>
      <c r="C1182" s="11"/>
      <c r="D1182" s="11"/>
      <c r="E1182" s="12">
        <f>ROUND(0,2)</f>
        <v>0</v>
      </c>
      <c r="F1182" s="12">
        <f>ROUND(16610.86,2)</f>
        <v>16610.86</v>
      </c>
      <c r="G1182" s="12">
        <f>ROUND(16610.86,2)</f>
        <v>16610.86</v>
      </c>
      <c r="H1182" s="12">
        <f>ROUND(11732.18,2)</f>
        <v>11732.18</v>
      </c>
      <c r="I1182" s="13">
        <f>ROUND(11732.18,2)</f>
        <v>11732.18</v>
      </c>
      <c r="J1182" s="13"/>
      <c r="K1182" s="13">
        <f>ROUND(11732.18,2)</f>
        <v>11732.18</v>
      </c>
      <c r="L1182" s="13"/>
      <c r="M1182" s="12">
        <f>ROUND(11732.18,2)</f>
        <v>11732.18</v>
      </c>
      <c r="N1182" s="12">
        <f>ROUND(11732.18,2)</f>
        <v>11732.18</v>
      </c>
      <c r="O1182" s="12">
        <f aca="true" t="shared" si="683" ref="O1182:O1183">ROUND(4878.68,2)</f>
        <v>4878.68</v>
      </c>
      <c r="P1182" s="14">
        <v>29.37042392747877</v>
      </c>
      <c r="Q1182" s="14">
        <v>70.62957607252123</v>
      </c>
    </row>
    <row r="1183" spans="1:17" ht="12.75" customHeight="1">
      <c r="A1183" s="15" t="s">
        <v>759</v>
      </c>
      <c r="B1183" s="15"/>
      <c r="C1183" s="15"/>
      <c r="D1183" s="15"/>
      <c r="E1183" s="16" t="s">
        <v>572</v>
      </c>
      <c r="F1183" s="17">
        <f>ROUND(0,2)</f>
        <v>0</v>
      </c>
      <c r="G1183" s="17">
        <f>ROUND(0,2)</f>
        <v>0</v>
      </c>
      <c r="H1183" s="17">
        <f>ROUND(0,2)</f>
        <v>0</v>
      </c>
      <c r="I1183" s="17">
        <f>ROUND(0,2)</f>
        <v>0</v>
      </c>
      <c r="J1183" s="17"/>
      <c r="K1183" s="17">
        <f>ROUND(0,2)</f>
        <v>0</v>
      </c>
      <c r="L1183" s="17"/>
      <c r="M1183" s="17">
        <f>ROUND(0,2)</f>
        <v>0</v>
      </c>
      <c r="N1183" s="17">
        <f>ROUND(0,2)</f>
        <v>0</v>
      </c>
      <c r="O1183" s="17">
        <f t="shared" si="683"/>
        <v>4878.68</v>
      </c>
      <c r="P1183" s="18">
        <v>70.62957607252123</v>
      </c>
      <c r="Q1183" s="18">
        <v>100</v>
      </c>
    </row>
    <row r="1184" spans="1:17" ht="12.75" customHeight="1">
      <c r="A1184" s="19" t="s">
        <v>264</v>
      </c>
      <c r="B1184" s="19"/>
      <c r="C1184" s="19"/>
      <c r="D1184" s="19"/>
      <c r="E1184" s="20">
        <f>SUM('DS1'!$A$302)</f>
        <v>0</v>
      </c>
      <c r="F1184" s="20">
        <v>16610.86</v>
      </c>
      <c r="G1184" s="20">
        <v>16610.86</v>
      </c>
      <c r="H1184" s="20">
        <v>11732.18</v>
      </c>
      <c r="I1184" s="21">
        <v>11732.18</v>
      </c>
      <c r="J1184" s="21"/>
      <c r="K1184" s="21">
        <v>11732.18</v>
      </c>
      <c r="L1184" s="21"/>
      <c r="M1184" s="20">
        <v>11732.18</v>
      </c>
      <c r="N1184" s="20">
        <v>11732.18</v>
      </c>
      <c r="O1184" s="20">
        <v>4878.68</v>
      </c>
      <c r="P1184" s="22">
        <v>29.37042392747877</v>
      </c>
      <c r="Q1184" s="22">
        <v>70.62957607252123</v>
      </c>
    </row>
    <row r="1185" spans="1:17" ht="12.75" customHeight="1">
      <c r="A1185" s="23"/>
      <c r="B1185" s="24"/>
      <c r="C1185" s="24"/>
      <c r="D1185" s="24"/>
      <c r="E1185" s="23"/>
      <c r="F1185" s="20">
        <v>0</v>
      </c>
      <c r="G1185" s="20">
        <v>0</v>
      </c>
      <c r="H1185" s="20">
        <v>0</v>
      </c>
      <c r="I1185" s="21">
        <v>0</v>
      </c>
      <c r="J1185" s="21"/>
      <c r="K1185" s="21">
        <v>0</v>
      </c>
      <c r="L1185" s="21"/>
      <c r="M1185" s="20">
        <v>0</v>
      </c>
      <c r="N1185" s="20">
        <v>0</v>
      </c>
      <c r="O1185" s="20">
        <v>4878.68</v>
      </c>
      <c r="P1185" s="22">
        <v>70.62957607252123</v>
      </c>
      <c r="Q1185" s="22">
        <v>100</v>
      </c>
    </row>
    <row r="1186" spans="1:17" ht="20.25" customHeight="1">
      <c r="A1186" s="23"/>
      <c r="B1186" s="24"/>
      <c r="C1186" s="24"/>
      <c r="D1186" s="24"/>
      <c r="E1186" s="23"/>
      <c r="F1186" s="23"/>
      <c r="G1186" s="23"/>
      <c r="H1186" s="23"/>
      <c r="I1186" s="24"/>
      <c r="J1186" s="24"/>
      <c r="K1186" s="24"/>
      <c r="L1186" s="24"/>
      <c r="M1186" s="23"/>
      <c r="N1186" s="23"/>
      <c r="O1186" s="23"/>
      <c r="P1186" s="23"/>
      <c r="Q1186" s="23"/>
    </row>
    <row r="1187" spans="1:17" ht="12.75" customHeight="1">
      <c r="A1187" s="10"/>
      <c r="B1187" s="11" t="s">
        <v>760</v>
      </c>
      <c r="C1187" s="11"/>
      <c r="D1187" s="11"/>
      <c r="E1187" s="12">
        <f>ROUND(0,2)</f>
        <v>0</v>
      </c>
      <c r="F1187" s="12">
        <f aca="true" t="shared" si="684" ref="F1187:F1188">ROUND(0,2)</f>
        <v>0</v>
      </c>
      <c r="G1187" s="12">
        <f aca="true" t="shared" si="685" ref="G1187:G1188">ROUND(0,2)</f>
        <v>0</v>
      </c>
      <c r="H1187" s="12">
        <f>ROUND(3735.5,2)</f>
        <v>3735.5</v>
      </c>
      <c r="I1187" s="13">
        <f>ROUND(3735.5,2)</f>
        <v>3735.5</v>
      </c>
      <c r="J1187" s="13"/>
      <c r="K1187" s="13">
        <f>ROUND(3735.5,2)</f>
        <v>3735.5</v>
      </c>
      <c r="L1187" s="13"/>
      <c r="M1187" s="12">
        <f>ROUND(3735.5,2)</f>
        <v>3735.5</v>
      </c>
      <c r="N1187" s="12">
        <f>ROUND(3735.5,2)</f>
        <v>3735.5</v>
      </c>
      <c r="O1187" s="12">
        <f aca="true" t="shared" si="686" ref="O1187:O1188">ROUND(-3735.5,2)</f>
        <v>-3735.5</v>
      </c>
      <c r="P1187" s="14">
        <v>0</v>
      </c>
      <c r="Q1187" s="14">
        <v>0</v>
      </c>
    </row>
    <row r="1188" spans="1:17" ht="12.75" customHeight="1">
      <c r="A1188" s="15" t="s">
        <v>761</v>
      </c>
      <c r="B1188" s="15"/>
      <c r="C1188" s="15"/>
      <c r="D1188" s="15"/>
      <c r="E1188" s="16" t="s">
        <v>572</v>
      </c>
      <c r="F1188" s="17">
        <f t="shared" si="684"/>
        <v>0</v>
      </c>
      <c r="G1188" s="17">
        <f t="shared" si="685"/>
        <v>0</v>
      </c>
      <c r="H1188" s="17">
        <f>ROUND(0,2)</f>
        <v>0</v>
      </c>
      <c r="I1188" s="17">
        <f>ROUND(0,2)</f>
        <v>0</v>
      </c>
      <c r="J1188" s="17"/>
      <c r="K1188" s="17">
        <f>ROUND(0,2)</f>
        <v>0</v>
      </c>
      <c r="L1188" s="17"/>
      <c r="M1188" s="17">
        <f>ROUND(0,2)</f>
        <v>0</v>
      </c>
      <c r="N1188" s="17">
        <f>ROUND(0,2)</f>
        <v>0</v>
      </c>
      <c r="O1188" s="17">
        <f t="shared" si="686"/>
        <v>-3735.5</v>
      </c>
      <c r="P1188" s="18">
        <v>0</v>
      </c>
      <c r="Q1188" s="18">
        <v>100</v>
      </c>
    </row>
    <row r="1189" spans="1:17" ht="12.75" customHeight="1">
      <c r="A1189" s="10"/>
      <c r="B1189" s="11" t="s">
        <v>762</v>
      </c>
      <c r="C1189" s="11"/>
      <c r="D1189" s="11"/>
      <c r="E1189" s="12">
        <f>ROUND(49260.85,2)</f>
        <v>49260.85</v>
      </c>
      <c r="F1189" s="12">
        <f>ROUND(443.35,2)</f>
        <v>443.35</v>
      </c>
      <c r="G1189" s="12">
        <f>ROUND(49704.2,2)</f>
        <v>49704.2</v>
      </c>
      <c r="H1189" s="12">
        <f>ROUND(39456.13,2)</f>
        <v>39456.13</v>
      </c>
      <c r="I1189" s="13">
        <f>ROUND(39456.13,2)</f>
        <v>39456.13</v>
      </c>
      <c r="J1189" s="13"/>
      <c r="K1189" s="13">
        <f>ROUND(39456.13,2)</f>
        <v>39456.13</v>
      </c>
      <c r="L1189" s="13"/>
      <c r="M1189" s="12">
        <f>ROUND(39456.13,2)</f>
        <v>39456.13</v>
      </c>
      <c r="N1189" s="12">
        <f>ROUND(39456.13,2)</f>
        <v>39456.13</v>
      </c>
      <c r="O1189" s="12">
        <f aca="true" t="shared" si="687" ref="O1189:O1190">ROUND(10248.07,2)</f>
        <v>10248.07</v>
      </c>
      <c r="P1189" s="14">
        <v>20.618116778863758</v>
      </c>
      <c r="Q1189" s="14">
        <v>79.38188322113623</v>
      </c>
    </row>
    <row r="1190" spans="1:17" ht="12.75" customHeight="1">
      <c r="A1190" s="15" t="s">
        <v>761</v>
      </c>
      <c r="B1190" s="15"/>
      <c r="C1190" s="15"/>
      <c r="D1190" s="15"/>
      <c r="E1190" s="16" t="s">
        <v>572</v>
      </c>
      <c r="F1190" s="17">
        <f>ROUND(0,2)</f>
        <v>0</v>
      </c>
      <c r="G1190" s="17">
        <f>ROUND(0,2)</f>
        <v>0</v>
      </c>
      <c r="H1190" s="17">
        <f>ROUND(0,2)</f>
        <v>0</v>
      </c>
      <c r="I1190" s="17">
        <f>ROUND(0,2)</f>
        <v>0</v>
      </c>
      <c r="J1190" s="17"/>
      <c r="K1190" s="17">
        <f>ROUND(0,2)</f>
        <v>0</v>
      </c>
      <c r="L1190" s="17"/>
      <c r="M1190" s="17">
        <f>ROUND(0,2)</f>
        <v>0</v>
      </c>
      <c r="N1190" s="17">
        <f>ROUND(0,2)</f>
        <v>0</v>
      </c>
      <c r="O1190" s="17">
        <f t="shared" si="687"/>
        <v>10248.07</v>
      </c>
      <c r="P1190" s="18">
        <v>79.38188322113623</v>
      </c>
      <c r="Q1190" s="18">
        <v>100</v>
      </c>
    </row>
    <row r="1191" spans="1:17" ht="12.75" customHeight="1">
      <c r="A1191" s="19" t="s">
        <v>68</v>
      </c>
      <c r="B1191" s="19"/>
      <c r="C1191" s="19"/>
      <c r="D1191" s="19"/>
      <c r="E1191" s="20">
        <f>SUM('DS1'!$A$303:$A$304)</f>
        <v>49260.85</v>
      </c>
      <c r="F1191" s="20">
        <v>443.35</v>
      </c>
      <c r="G1191" s="20">
        <v>49704.2</v>
      </c>
      <c r="H1191" s="20">
        <v>43191.63</v>
      </c>
      <c r="I1191" s="21">
        <v>43191.63</v>
      </c>
      <c r="J1191" s="21"/>
      <c r="K1191" s="21">
        <v>43191.63</v>
      </c>
      <c r="L1191" s="21"/>
      <c r="M1191" s="20">
        <v>43191.63</v>
      </c>
      <c r="N1191" s="20">
        <v>43191.63</v>
      </c>
      <c r="O1191" s="20">
        <v>6512.57</v>
      </c>
      <c r="P1191" s="22">
        <v>13.102655308806902</v>
      </c>
      <c r="Q1191" s="22">
        <v>86.8973446911931</v>
      </c>
    </row>
    <row r="1192" spans="1:17" ht="12.75" customHeight="1">
      <c r="A1192" s="23"/>
      <c r="B1192" s="24"/>
      <c r="C1192" s="24"/>
      <c r="D1192" s="24"/>
      <c r="E1192" s="23"/>
      <c r="F1192" s="20">
        <v>0</v>
      </c>
      <c r="G1192" s="20">
        <v>0</v>
      </c>
      <c r="H1192" s="20">
        <v>0</v>
      </c>
      <c r="I1192" s="21">
        <v>0</v>
      </c>
      <c r="J1192" s="21"/>
      <c r="K1192" s="21">
        <v>0</v>
      </c>
      <c r="L1192" s="21"/>
      <c r="M1192" s="20">
        <v>0</v>
      </c>
      <c r="N1192" s="20">
        <v>0</v>
      </c>
      <c r="O1192" s="20">
        <v>6512.57</v>
      </c>
      <c r="P1192" s="22">
        <v>86.8973446911931</v>
      </c>
      <c r="Q1192" s="22">
        <v>100</v>
      </c>
    </row>
    <row r="1193" spans="1:17" ht="20.25" customHeight="1">
      <c r="A1193" s="23"/>
      <c r="B1193" s="24"/>
      <c r="C1193" s="24"/>
      <c r="D1193" s="24"/>
      <c r="E1193" s="23"/>
      <c r="F1193" s="23"/>
      <c r="G1193" s="23"/>
      <c r="H1193" s="23"/>
      <c r="I1193" s="24"/>
      <c r="J1193" s="24"/>
      <c r="K1193" s="24"/>
      <c r="L1193" s="24"/>
      <c r="M1193" s="23"/>
      <c r="N1193" s="23"/>
      <c r="O1193" s="23"/>
      <c r="P1193" s="23"/>
      <c r="Q1193" s="23"/>
    </row>
    <row r="1194" spans="1:17" ht="12.75" customHeight="1">
      <c r="A1194" s="19" t="s">
        <v>763</v>
      </c>
      <c r="B1194" s="19"/>
      <c r="C1194" s="19"/>
      <c r="D1194" s="19"/>
      <c r="E1194" s="20">
        <f>SUM('DS1'!$A$301:$A$304)</f>
        <v>196716.69</v>
      </c>
      <c r="F1194" s="20">
        <v>18381.309999999998</v>
      </c>
      <c r="G1194" s="20">
        <v>215098</v>
      </c>
      <c r="H1194" s="20">
        <v>184575.1</v>
      </c>
      <c r="I1194" s="21">
        <v>184575.1</v>
      </c>
      <c r="J1194" s="21"/>
      <c r="K1194" s="21">
        <v>184575.1</v>
      </c>
      <c r="L1194" s="21"/>
      <c r="M1194" s="20">
        <v>184575.1</v>
      </c>
      <c r="N1194" s="20">
        <v>184575.1</v>
      </c>
      <c r="O1194" s="20">
        <v>30522.9</v>
      </c>
      <c r="P1194" s="22">
        <v>14.190229569777498</v>
      </c>
      <c r="Q1194" s="22">
        <v>85.80977043022251</v>
      </c>
    </row>
    <row r="1195" spans="1:17" ht="12.75" customHeight="1">
      <c r="A1195" s="23"/>
      <c r="B1195" s="24"/>
      <c r="C1195" s="24"/>
      <c r="D1195" s="24"/>
      <c r="E1195" s="23"/>
      <c r="F1195" s="20">
        <v>0</v>
      </c>
      <c r="G1195" s="20">
        <v>0</v>
      </c>
      <c r="H1195" s="20">
        <v>0</v>
      </c>
      <c r="I1195" s="21">
        <v>0</v>
      </c>
      <c r="J1195" s="21"/>
      <c r="K1195" s="21">
        <v>0</v>
      </c>
      <c r="L1195" s="21"/>
      <c r="M1195" s="20">
        <v>0</v>
      </c>
      <c r="N1195" s="20">
        <v>0</v>
      </c>
      <c r="O1195" s="20">
        <v>30522.90000000001</v>
      </c>
      <c r="P1195" s="22">
        <v>85.80977043022251</v>
      </c>
      <c r="Q1195" s="22">
        <v>100</v>
      </c>
    </row>
    <row r="1196" spans="1:17" ht="18" customHeight="1">
      <c r="A1196" s="23"/>
      <c r="B1196" s="24"/>
      <c r="C1196" s="24"/>
      <c r="D1196" s="24"/>
      <c r="E1196" s="23"/>
      <c r="F1196" s="23"/>
      <c r="G1196" s="23"/>
      <c r="H1196" s="23"/>
      <c r="I1196" s="24"/>
      <c r="J1196" s="24"/>
      <c r="K1196" s="24"/>
      <c r="L1196" s="24"/>
      <c r="M1196" s="23"/>
      <c r="N1196" s="23"/>
      <c r="O1196" s="23"/>
      <c r="P1196" s="23"/>
      <c r="Q1196" s="23"/>
    </row>
    <row r="1197" spans="1:17" ht="12.75" customHeight="1">
      <c r="A1197" s="10"/>
      <c r="B1197" s="11" t="s">
        <v>764</v>
      </c>
      <c r="C1197" s="11"/>
      <c r="D1197" s="11"/>
      <c r="E1197" s="12">
        <f>ROUND(1300,2)</f>
        <v>1300</v>
      </c>
      <c r="F1197" s="12">
        <f aca="true" t="shared" si="688" ref="F1197:F1198">ROUND(0,2)</f>
        <v>0</v>
      </c>
      <c r="G1197" s="12">
        <f>ROUND(1300,2)</f>
        <v>1300</v>
      </c>
      <c r="H1197" s="12">
        <f aca="true" t="shared" si="689" ref="H1197:H1198">ROUND(0,2)</f>
        <v>0</v>
      </c>
      <c r="I1197" s="13">
        <f aca="true" t="shared" si="690" ref="I1197:I1198">ROUND(0,2)</f>
        <v>0</v>
      </c>
      <c r="J1197" s="13"/>
      <c r="K1197" s="13">
        <f aca="true" t="shared" si="691" ref="K1197:K1198">ROUND(0,2)</f>
        <v>0</v>
      </c>
      <c r="L1197" s="13"/>
      <c r="M1197" s="12">
        <f aca="true" t="shared" si="692" ref="M1197:M1198">ROUND(0,2)</f>
        <v>0</v>
      </c>
      <c r="N1197" s="12">
        <f aca="true" t="shared" si="693" ref="N1197:N1198">ROUND(0,2)</f>
        <v>0</v>
      </c>
      <c r="O1197" s="12">
        <f aca="true" t="shared" si="694" ref="O1197:O1198">ROUND(1300,2)</f>
        <v>1300</v>
      </c>
      <c r="P1197" s="14">
        <v>100</v>
      </c>
      <c r="Q1197" s="14">
        <v>0</v>
      </c>
    </row>
    <row r="1198" spans="1:17" ht="12.75" customHeight="1">
      <c r="A1198" s="15" t="s">
        <v>765</v>
      </c>
      <c r="B1198" s="15"/>
      <c r="C1198" s="15"/>
      <c r="D1198" s="15"/>
      <c r="E1198" s="16" t="s">
        <v>766</v>
      </c>
      <c r="F1198" s="17">
        <f t="shared" si="688"/>
        <v>0</v>
      </c>
      <c r="G1198" s="17">
        <f>ROUND(0,2)</f>
        <v>0</v>
      </c>
      <c r="H1198" s="17">
        <f t="shared" si="689"/>
        <v>0</v>
      </c>
      <c r="I1198" s="17">
        <f t="shared" si="690"/>
        <v>0</v>
      </c>
      <c r="J1198" s="17"/>
      <c r="K1198" s="17">
        <f t="shared" si="691"/>
        <v>0</v>
      </c>
      <c r="L1198" s="17"/>
      <c r="M1198" s="17">
        <f t="shared" si="692"/>
        <v>0</v>
      </c>
      <c r="N1198" s="17">
        <f t="shared" si="693"/>
        <v>0</v>
      </c>
      <c r="O1198" s="17">
        <f t="shared" si="694"/>
        <v>1300</v>
      </c>
      <c r="P1198" s="18">
        <v>0</v>
      </c>
      <c r="Q1198" s="18">
        <v>0</v>
      </c>
    </row>
    <row r="1199" spans="1:17" ht="12.75" customHeight="1">
      <c r="A1199" s="19" t="s">
        <v>304</v>
      </c>
      <c r="B1199" s="19"/>
      <c r="C1199" s="19"/>
      <c r="D1199" s="19"/>
      <c r="E1199" s="20">
        <f>SUM('DS1'!$A$305)</f>
        <v>1300</v>
      </c>
      <c r="F1199" s="20">
        <v>0</v>
      </c>
      <c r="G1199" s="20">
        <v>1300</v>
      </c>
      <c r="H1199" s="20">
        <v>0</v>
      </c>
      <c r="I1199" s="21">
        <v>0</v>
      </c>
      <c r="J1199" s="21"/>
      <c r="K1199" s="21">
        <v>0</v>
      </c>
      <c r="L1199" s="21"/>
      <c r="M1199" s="20">
        <v>0</v>
      </c>
      <c r="N1199" s="20">
        <v>0</v>
      </c>
      <c r="O1199" s="20">
        <v>1300</v>
      </c>
      <c r="P1199" s="22">
        <v>100</v>
      </c>
      <c r="Q1199" s="22">
        <v>0</v>
      </c>
    </row>
    <row r="1200" spans="1:17" ht="12.75" customHeight="1">
      <c r="A1200" s="23"/>
      <c r="B1200" s="24"/>
      <c r="C1200" s="24"/>
      <c r="D1200" s="24"/>
      <c r="E1200" s="23"/>
      <c r="F1200" s="20">
        <v>0</v>
      </c>
      <c r="G1200" s="20">
        <v>0</v>
      </c>
      <c r="H1200" s="20">
        <v>0</v>
      </c>
      <c r="I1200" s="21">
        <v>0</v>
      </c>
      <c r="J1200" s="21"/>
      <c r="K1200" s="21">
        <v>0</v>
      </c>
      <c r="L1200" s="21"/>
      <c r="M1200" s="20">
        <v>0</v>
      </c>
      <c r="N1200" s="20">
        <v>0</v>
      </c>
      <c r="O1200" s="20">
        <v>1300</v>
      </c>
      <c r="P1200" s="22">
        <v>0</v>
      </c>
      <c r="Q1200" s="22">
        <v>0</v>
      </c>
    </row>
    <row r="1201" spans="1:17" ht="20.25" customHeight="1">
      <c r="A1201" s="23"/>
      <c r="B1201" s="24"/>
      <c r="C1201" s="24"/>
      <c r="D1201" s="24"/>
      <c r="E1201" s="23"/>
      <c r="F1201" s="23"/>
      <c r="G1201" s="23"/>
      <c r="H1201" s="23"/>
      <c r="I1201" s="24"/>
      <c r="J1201" s="24"/>
      <c r="K1201" s="24"/>
      <c r="L1201" s="24"/>
      <c r="M1201" s="23"/>
      <c r="N1201" s="23"/>
      <c r="O1201" s="23"/>
      <c r="P1201" s="23"/>
      <c r="Q1201" s="23"/>
    </row>
    <row r="1202" spans="1:17" ht="12.75" customHeight="1">
      <c r="A1202" s="10" t="s">
        <v>83</v>
      </c>
      <c r="B1202" s="11" t="s">
        <v>767</v>
      </c>
      <c r="C1202" s="11"/>
      <c r="D1202" s="11"/>
      <c r="E1202" s="12">
        <f>ROUND(0,2)</f>
        <v>0</v>
      </c>
      <c r="F1202" s="12">
        <f aca="true" t="shared" si="695" ref="F1202:F1203">ROUND(5221.05,2)</f>
        <v>5221.05</v>
      </c>
      <c r="G1202" s="12">
        <f>ROUND(5221.05,2)</f>
        <v>5221.05</v>
      </c>
      <c r="H1202" s="12">
        <f>ROUND(5084.64,2)</f>
        <v>5084.64</v>
      </c>
      <c r="I1202" s="13">
        <f>ROUND(5084.64,2)</f>
        <v>5084.64</v>
      </c>
      <c r="J1202" s="13"/>
      <c r="K1202" s="13">
        <f>ROUND(5084.64,2)</f>
        <v>5084.64</v>
      </c>
      <c r="L1202" s="13"/>
      <c r="M1202" s="12">
        <f>ROUND(5084.64,2)</f>
        <v>5084.64</v>
      </c>
      <c r="N1202" s="12">
        <f>ROUND(4660.92,2)</f>
        <v>4660.92</v>
      </c>
      <c r="O1202" s="12">
        <f>ROUND(136.41,2)</f>
        <v>136.41</v>
      </c>
      <c r="P1202" s="14">
        <v>2.612692849139541</v>
      </c>
      <c r="Q1202" s="14">
        <v>97.38730715086047</v>
      </c>
    </row>
    <row r="1203" spans="1:17" ht="12.75" customHeight="1">
      <c r="A1203" s="15" t="s">
        <v>768</v>
      </c>
      <c r="B1203" s="15"/>
      <c r="C1203" s="15"/>
      <c r="D1203" s="15"/>
      <c r="E1203" s="16" t="s">
        <v>769</v>
      </c>
      <c r="F1203" s="17">
        <f t="shared" si="695"/>
        <v>5221.05</v>
      </c>
      <c r="G1203" s="17">
        <f>ROUND(0,2)</f>
        <v>0</v>
      </c>
      <c r="H1203" s="17">
        <f>ROUND(0,2)</f>
        <v>0</v>
      </c>
      <c r="I1203" s="17">
        <f>ROUND(0,2)</f>
        <v>0</v>
      </c>
      <c r="J1203" s="17"/>
      <c r="K1203" s="17">
        <f>ROUND(0,2)</f>
        <v>0</v>
      </c>
      <c r="L1203" s="17"/>
      <c r="M1203" s="17">
        <f>ROUND(423.72,2)</f>
        <v>423.72</v>
      </c>
      <c r="N1203" s="17">
        <f aca="true" t="shared" si="696" ref="N1203:N1205">ROUND(0,2)</f>
        <v>0</v>
      </c>
      <c r="O1203" s="17">
        <f>ROUND(136.41,2)</f>
        <v>136.41</v>
      </c>
      <c r="P1203" s="18">
        <v>97.38730715086047</v>
      </c>
      <c r="Q1203" s="18">
        <v>91.66666666666666</v>
      </c>
    </row>
    <row r="1204" spans="1:17" ht="12.75" customHeight="1">
      <c r="A1204" s="10"/>
      <c r="B1204" s="11" t="s">
        <v>770</v>
      </c>
      <c r="C1204" s="11"/>
      <c r="D1204" s="11"/>
      <c r="E1204" s="12">
        <f>ROUND(5000,2)</f>
        <v>5000</v>
      </c>
      <c r="F1204" s="12">
        <f aca="true" t="shared" si="697" ref="F1204:F1205">ROUND(0,2)</f>
        <v>0</v>
      </c>
      <c r="G1204" s="12">
        <f>ROUND(5000,2)</f>
        <v>5000</v>
      </c>
      <c r="H1204" s="12">
        <f>ROUND(973.44,2)</f>
        <v>973.44</v>
      </c>
      <c r="I1204" s="13">
        <f>ROUND(973.44,2)</f>
        <v>973.44</v>
      </c>
      <c r="J1204" s="13"/>
      <c r="K1204" s="13">
        <f>ROUND(126,2)</f>
        <v>126</v>
      </c>
      <c r="L1204" s="13"/>
      <c r="M1204" s="12">
        <f aca="true" t="shared" si="698" ref="M1204:M1205">ROUND(126,2)</f>
        <v>126</v>
      </c>
      <c r="N1204" s="12">
        <f t="shared" si="696"/>
        <v>0</v>
      </c>
      <c r="O1204" s="12">
        <f>ROUND(4026.56,2)</f>
        <v>4026.56</v>
      </c>
      <c r="P1204" s="14">
        <v>80.5312</v>
      </c>
      <c r="Q1204" s="14">
        <v>2.52</v>
      </c>
    </row>
    <row r="1205" spans="1:17" ht="12.75" customHeight="1">
      <c r="A1205" s="15" t="s">
        <v>768</v>
      </c>
      <c r="B1205" s="15"/>
      <c r="C1205" s="15"/>
      <c r="D1205" s="15"/>
      <c r="E1205" s="16" t="s">
        <v>766</v>
      </c>
      <c r="F1205" s="17">
        <f t="shared" si="697"/>
        <v>0</v>
      </c>
      <c r="G1205" s="17">
        <f>ROUND(0,2)</f>
        <v>0</v>
      </c>
      <c r="H1205" s="17">
        <f>ROUND(0,2)</f>
        <v>0</v>
      </c>
      <c r="I1205" s="17">
        <f>ROUND(847.44,2)</f>
        <v>847.44</v>
      </c>
      <c r="J1205" s="17"/>
      <c r="K1205" s="17">
        <f>ROUND(0,2)</f>
        <v>0</v>
      </c>
      <c r="L1205" s="17"/>
      <c r="M1205" s="17">
        <f t="shared" si="698"/>
        <v>126</v>
      </c>
      <c r="N1205" s="17">
        <f t="shared" si="696"/>
        <v>0</v>
      </c>
      <c r="O1205" s="17">
        <f>ROUND(4874,2)</f>
        <v>4874</v>
      </c>
      <c r="P1205" s="18">
        <v>19.4688</v>
      </c>
      <c r="Q1205" s="18">
        <v>0</v>
      </c>
    </row>
    <row r="1206" spans="1:17" ht="12.75" customHeight="1">
      <c r="A1206" s="19" t="s">
        <v>726</v>
      </c>
      <c r="B1206" s="19"/>
      <c r="C1206" s="19"/>
      <c r="D1206" s="19"/>
      <c r="E1206" s="20">
        <f>SUM('DS1'!$A$306:$A$307)</f>
        <v>5000</v>
      </c>
      <c r="F1206" s="20">
        <v>5221.05</v>
      </c>
      <c r="G1206" s="20">
        <v>10221.05</v>
      </c>
      <c r="H1206" s="20">
        <v>6058.08</v>
      </c>
      <c r="I1206" s="21">
        <v>6058.08</v>
      </c>
      <c r="J1206" s="21"/>
      <c r="K1206" s="21">
        <v>5210.64</v>
      </c>
      <c r="L1206" s="21"/>
      <c r="M1206" s="20">
        <v>5210.64</v>
      </c>
      <c r="N1206" s="20">
        <v>4660.92</v>
      </c>
      <c r="O1206" s="20">
        <v>4162.97</v>
      </c>
      <c r="P1206" s="22">
        <v>40.72937711878917</v>
      </c>
      <c r="Q1206" s="22">
        <v>50.97949819245577</v>
      </c>
    </row>
    <row r="1207" spans="1:17" ht="12.75" customHeight="1">
      <c r="A1207" s="23"/>
      <c r="B1207" s="24"/>
      <c r="C1207" s="24"/>
      <c r="D1207" s="24"/>
      <c r="E1207" s="23"/>
      <c r="F1207" s="20">
        <v>5221.05</v>
      </c>
      <c r="G1207" s="20">
        <v>0</v>
      </c>
      <c r="H1207" s="20">
        <v>0</v>
      </c>
      <c r="I1207" s="21">
        <v>847.44</v>
      </c>
      <c r="J1207" s="21"/>
      <c r="K1207" s="21">
        <v>0</v>
      </c>
      <c r="L1207" s="21"/>
      <c r="M1207" s="20">
        <v>549.7200000000003</v>
      </c>
      <c r="N1207" s="20">
        <v>0</v>
      </c>
      <c r="O1207" s="20">
        <v>5010.41</v>
      </c>
      <c r="P1207" s="22">
        <v>59.270622881210834</v>
      </c>
      <c r="Q1207" s="22">
        <v>89.45004836258119</v>
      </c>
    </row>
    <row r="1208" spans="1:17" ht="20.25" customHeight="1">
      <c r="A1208" s="23"/>
      <c r="B1208" s="24"/>
      <c r="C1208" s="24"/>
      <c r="D1208" s="24"/>
      <c r="E1208" s="23"/>
      <c r="F1208" s="23"/>
      <c r="G1208" s="23"/>
      <c r="H1208" s="23"/>
      <c r="I1208" s="24"/>
      <c r="J1208" s="24"/>
      <c r="K1208" s="24"/>
      <c r="L1208" s="24"/>
      <c r="M1208" s="23"/>
      <c r="N1208" s="23"/>
      <c r="O1208" s="23"/>
      <c r="P1208" s="23"/>
      <c r="Q1208" s="23"/>
    </row>
    <row r="1209" spans="1:17" ht="12.75" customHeight="1">
      <c r="A1209" s="10"/>
      <c r="B1209" s="11" t="s">
        <v>771</v>
      </c>
      <c r="C1209" s="11"/>
      <c r="D1209" s="11"/>
      <c r="E1209" s="12">
        <f>ROUND(23000,2)</f>
        <v>23000</v>
      </c>
      <c r="F1209" s="12">
        <f aca="true" t="shared" si="699" ref="F1209:F1210">ROUND(0,2)</f>
        <v>0</v>
      </c>
      <c r="G1209" s="12">
        <f>ROUND(23000,2)</f>
        <v>23000</v>
      </c>
      <c r="H1209" s="12">
        <f>ROUND(4105.98,2)</f>
        <v>4105.98</v>
      </c>
      <c r="I1209" s="13">
        <f>ROUND(4105.98,2)</f>
        <v>4105.98</v>
      </c>
      <c r="J1209" s="13"/>
      <c r="K1209" s="13">
        <f>ROUND(4105.98,2)</f>
        <v>4105.98</v>
      </c>
      <c r="L1209" s="13"/>
      <c r="M1209" s="12">
        <f aca="true" t="shared" si="700" ref="M1209:M1210">ROUND(4105.98,2)</f>
        <v>4105.98</v>
      </c>
      <c r="N1209" s="12">
        <f aca="true" t="shared" si="701" ref="N1209:N1210">ROUND(0,2)</f>
        <v>0</v>
      </c>
      <c r="O1209" s="12">
        <f aca="true" t="shared" si="702" ref="O1209:O1210">ROUND(18894.02,2)</f>
        <v>18894.02</v>
      </c>
      <c r="P1209" s="14">
        <v>82.14791304347825</v>
      </c>
      <c r="Q1209" s="14">
        <v>17.852086956521738</v>
      </c>
    </row>
    <row r="1210" spans="1:17" ht="12.75" customHeight="1">
      <c r="A1210" s="15" t="s">
        <v>772</v>
      </c>
      <c r="B1210" s="15"/>
      <c r="C1210" s="15"/>
      <c r="D1210" s="15"/>
      <c r="E1210" s="16" t="s">
        <v>773</v>
      </c>
      <c r="F1210" s="17">
        <f t="shared" si="699"/>
        <v>0</v>
      </c>
      <c r="G1210" s="17">
        <f>ROUND(0,2)</f>
        <v>0</v>
      </c>
      <c r="H1210" s="17">
        <f>ROUND(0,2)</f>
        <v>0</v>
      </c>
      <c r="I1210" s="17">
        <f>ROUND(0,2)</f>
        <v>0</v>
      </c>
      <c r="J1210" s="17"/>
      <c r="K1210" s="17">
        <f>ROUND(0,2)</f>
        <v>0</v>
      </c>
      <c r="L1210" s="17"/>
      <c r="M1210" s="17">
        <f t="shared" si="700"/>
        <v>4105.98</v>
      </c>
      <c r="N1210" s="17">
        <f t="shared" si="701"/>
        <v>0</v>
      </c>
      <c r="O1210" s="17">
        <f t="shared" si="702"/>
        <v>18894.02</v>
      </c>
      <c r="P1210" s="18">
        <v>17.852086956521738</v>
      </c>
      <c r="Q1210" s="18">
        <v>0</v>
      </c>
    </row>
    <row r="1211" spans="1:17" ht="12.75" customHeight="1">
      <c r="A1211" s="19" t="s">
        <v>92</v>
      </c>
      <c r="B1211" s="19"/>
      <c r="C1211" s="19"/>
      <c r="D1211" s="19"/>
      <c r="E1211" s="20">
        <f>SUM('DS1'!$A$308)</f>
        <v>23000</v>
      </c>
      <c r="F1211" s="20">
        <v>0</v>
      </c>
      <c r="G1211" s="20">
        <v>23000</v>
      </c>
      <c r="H1211" s="20">
        <v>4105.98</v>
      </c>
      <c r="I1211" s="21">
        <v>4105.98</v>
      </c>
      <c r="J1211" s="21"/>
      <c r="K1211" s="21">
        <v>4105.98</v>
      </c>
      <c r="L1211" s="21"/>
      <c r="M1211" s="20">
        <v>4105.98</v>
      </c>
      <c r="N1211" s="20">
        <v>0</v>
      </c>
      <c r="O1211" s="20">
        <v>18894.02</v>
      </c>
      <c r="P1211" s="22">
        <v>82.14791304347825</v>
      </c>
      <c r="Q1211" s="22">
        <v>17.852086956521738</v>
      </c>
    </row>
    <row r="1212" spans="1:17" ht="12.75" customHeight="1">
      <c r="A1212" s="23"/>
      <c r="B1212" s="24"/>
      <c r="C1212" s="24"/>
      <c r="D1212" s="24"/>
      <c r="E1212" s="23"/>
      <c r="F1212" s="20">
        <v>0</v>
      </c>
      <c r="G1212" s="20">
        <v>0</v>
      </c>
      <c r="H1212" s="20">
        <v>0</v>
      </c>
      <c r="I1212" s="21">
        <v>0</v>
      </c>
      <c r="J1212" s="21"/>
      <c r="K1212" s="21">
        <v>0</v>
      </c>
      <c r="L1212" s="21"/>
      <c r="M1212" s="20">
        <v>4105.98</v>
      </c>
      <c r="N1212" s="20">
        <v>0</v>
      </c>
      <c r="O1212" s="20">
        <v>18894.02</v>
      </c>
      <c r="P1212" s="22">
        <v>17.852086956521738</v>
      </c>
      <c r="Q1212" s="22">
        <v>0</v>
      </c>
    </row>
    <row r="1213" spans="1:17" ht="20.25" customHeight="1">
      <c r="A1213" s="23"/>
      <c r="B1213" s="24"/>
      <c r="C1213" s="24"/>
      <c r="D1213" s="24"/>
      <c r="E1213" s="23"/>
      <c r="F1213" s="23"/>
      <c r="G1213" s="23"/>
      <c r="H1213" s="23"/>
      <c r="I1213" s="24"/>
      <c r="J1213" s="24"/>
      <c r="K1213" s="24"/>
      <c r="L1213" s="24"/>
      <c r="M1213" s="23"/>
      <c r="N1213" s="23"/>
      <c r="O1213" s="23"/>
      <c r="P1213" s="23"/>
      <c r="Q1213" s="23"/>
    </row>
    <row r="1214" spans="1:17" ht="12.75" customHeight="1">
      <c r="A1214" s="10"/>
      <c r="B1214" s="11" t="s">
        <v>774</v>
      </c>
      <c r="C1214" s="11"/>
      <c r="D1214" s="11"/>
      <c r="E1214" s="12">
        <f>ROUND(1800,2)</f>
        <v>1800</v>
      </c>
      <c r="F1214" s="12">
        <f aca="true" t="shared" si="703" ref="F1214:F1215">ROUND(0,2)</f>
        <v>0</v>
      </c>
      <c r="G1214" s="12">
        <f>ROUND(1800,2)</f>
        <v>1800</v>
      </c>
      <c r="H1214" s="12">
        <f>ROUND(669.5,2)</f>
        <v>669.5</v>
      </c>
      <c r="I1214" s="13">
        <f>ROUND(669.5,2)</f>
        <v>669.5</v>
      </c>
      <c r="J1214" s="13"/>
      <c r="K1214" s="13">
        <f>ROUND(669.5,2)</f>
        <v>669.5</v>
      </c>
      <c r="L1214" s="13"/>
      <c r="M1214" s="12">
        <f>ROUND(669.5,2)</f>
        <v>669.5</v>
      </c>
      <c r="N1214" s="12">
        <f>ROUND(669.5,2)</f>
        <v>669.5</v>
      </c>
      <c r="O1214" s="12">
        <f aca="true" t="shared" si="704" ref="O1214:O1215">ROUND(1130.5,2)</f>
        <v>1130.5</v>
      </c>
      <c r="P1214" s="14">
        <v>62.80555555555556</v>
      </c>
      <c r="Q1214" s="14">
        <v>37.19444444444445</v>
      </c>
    </row>
    <row r="1215" spans="1:17" ht="12.75" customHeight="1">
      <c r="A1215" s="15" t="s">
        <v>775</v>
      </c>
      <c r="B1215" s="15"/>
      <c r="C1215" s="15"/>
      <c r="D1215" s="15"/>
      <c r="E1215" s="16" t="s">
        <v>773</v>
      </c>
      <c r="F1215" s="17">
        <f t="shared" si="703"/>
        <v>0</v>
      </c>
      <c r="G1215" s="17">
        <f>ROUND(0,2)</f>
        <v>0</v>
      </c>
      <c r="H1215" s="17">
        <f>ROUND(0,2)</f>
        <v>0</v>
      </c>
      <c r="I1215" s="17">
        <f>ROUND(0,2)</f>
        <v>0</v>
      </c>
      <c r="J1215" s="17"/>
      <c r="K1215" s="17">
        <f>ROUND(0,2)</f>
        <v>0</v>
      </c>
      <c r="L1215" s="17"/>
      <c r="M1215" s="17">
        <f>ROUND(0,2)</f>
        <v>0</v>
      </c>
      <c r="N1215" s="17">
        <f>ROUND(0,2)</f>
        <v>0</v>
      </c>
      <c r="O1215" s="17">
        <f t="shared" si="704"/>
        <v>1130.5</v>
      </c>
      <c r="P1215" s="18">
        <v>37.19444444444445</v>
      </c>
      <c r="Q1215" s="18">
        <v>100</v>
      </c>
    </row>
    <row r="1216" spans="1:17" ht="12.75" customHeight="1">
      <c r="A1216" s="19" t="s">
        <v>183</v>
      </c>
      <c r="B1216" s="19"/>
      <c r="C1216" s="19"/>
      <c r="D1216" s="19"/>
      <c r="E1216" s="20">
        <f>SUM('DS1'!$A$309)</f>
        <v>1800</v>
      </c>
      <c r="F1216" s="20">
        <v>0</v>
      </c>
      <c r="G1216" s="20">
        <v>1800</v>
      </c>
      <c r="H1216" s="20">
        <v>669.5</v>
      </c>
      <c r="I1216" s="21">
        <v>669.5</v>
      </c>
      <c r="J1216" s="21"/>
      <c r="K1216" s="21">
        <v>669.5</v>
      </c>
      <c r="L1216" s="21"/>
      <c r="M1216" s="20">
        <v>669.5</v>
      </c>
      <c r="N1216" s="20">
        <v>669.5</v>
      </c>
      <c r="O1216" s="20">
        <v>1130.5</v>
      </c>
      <c r="P1216" s="22">
        <v>62.80555555555556</v>
      </c>
      <c r="Q1216" s="22">
        <v>37.19444444444445</v>
      </c>
    </row>
    <row r="1217" spans="1:17" ht="12.75" customHeight="1">
      <c r="A1217" s="23"/>
      <c r="B1217" s="24"/>
      <c r="C1217" s="24"/>
      <c r="D1217" s="24"/>
      <c r="E1217" s="23"/>
      <c r="F1217" s="20">
        <v>0</v>
      </c>
      <c r="G1217" s="20">
        <v>0</v>
      </c>
      <c r="H1217" s="20">
        <v>0</v>
      </c>
      <c r="I1217" s="21">
        <v>0</v>
      </c>
      <c r="J1217" s="21"/>
      <c r="K1217" s="21">
        <v>0</v>
      </c>
      <c r="L1217" s="21"/>
      <c r="M1217" s="20">
        <v>0</v>
      </c>
      <c r="N1217" s="20">
        <v>0</v>
      </c>
      <c r="O1217" s="20">
        <v>1130.5</v>
      </c>
      <c r="P1217" s="22">
        <v>37.19444444444445</v>
      </c>
      <c r="Q1217" s="22">
        <v>100</v>
      </c>
    </row>
    <row r="1218" spans="1:17" ht="20.25" customHeight="1">
      <c r="A1218" s="23"/>
      <c r="B1218" s="24"/>
      <c r="C1218" s="24"/>
      <c r="D1218" s="24"/>
      <c r="E1218" s="23"/>
      <c r="F1218" s="23"/>
      <c r="G1218" s="23"/>
      <c r="H1218" s="23"/>
      <c r="I1218" s="24"/>
      <c r="J1218" s="24"/>
      <c r="K1218" s="24"/>
      <c r="L1218" s="24"/>
      <c r="M1218" s="23"/>
      <c r="N1218" s="23"/>
      <c r="O1218" s="23"/>
      <c r="P1218" s="23"/>
      <c r="Q1218" s="23"/>
    </row>
    <row r="1219" spans="1:17" ht="12.75" customHeight="1">
      <c r="A1219" s="10"/>
      <c r="B1219" s="11" t="s">
        <v>776</v>
      </c>
      <c r="C1219" s="11"/>
      <c r="D1219" s="11"/>
      <c r="E1219" s="12">
        <f>ROUND(1800,2)</f>
        <v>1800</v>
      </c>
      <c r="F1219" s="12">
        <f aca="true" t="shared" si="705" ref="F1219:F1220">ROUND(0,2)</f>
        <v>0</v>
      </c>
      <c r="G1219" s="12">
        <f>ROUND(1800,2)</f>
        <v>1800</v>
      </c>
      <c r="H1219" s="12">
        <f aca="true" t="shared" si="706" ref="H1219:H1220">ROUND(0,2)</f>
        <v>0</v>
      </c>
      <c r="I1219" s="13">
        <f aca="true" t="shared" si="707" ref="I1219:I1220">ROUND(0,2)</f>
        <v>0</v>
      </c>
      <c r="J1219" s="13"/>
      <c r="K1219" s="13">
        <f aca="true" t="shared" si="708" ref="K1219:K1220">ROUND(0,2)</f>
        <v>0</v>
      </c>
      <c r="L1219" s="13"/>
      <c r="M1219" s="12">
        <f aca="true" t="shared" si="709" ref="M1219:M1220">ROUND(0,2)</f>
        <v>0</v>
      </c>
      <c r="N1219" s="12">
        <f aca="true" t="shared" si="710" ref="N1219:N1220">ROUND(0,2)</f>
        <v>0</v>
      </c>
      <c r="O1219" s="12">
        <f aca="true" t="shared" si="711" ref="O1219:O1220">ROUND(1800,2)</f>
        <v>1800</v>
      </c>
      <c r="P1219" s="14">
        <v>100</v>
      </c>
      <c r="Q1219" s="14">
        <v>0</v>
      </c>
    </row>
    <row r="1220" spans="1:17" ht="12.75" customHeight="1">
      <c r="A1220" s="15" t="s">
        <v>777</v>
      </c>
      <c r="B1220" s="15"/>
      <c r="C1220" s="15"/>
      <c r="D1220" s="15"/>
      <c r="E1220" s="16" t="s">
        <v>773</v>
      </c>
      <c r="F1220" s="17">
        <f t="shared" si="705"/>
        <v>0</v>
      </c>
      <c r="G1220" s="17">
        <f>ROUND(0,2)</f>
        <v>0</v>
      </c>
      <c r="H1220" s="17">
        <f t="shared" si="706"/>
        <v>0</v>
      </c>
      <c r="I1220" s="17">
        <f t="shared" si="707"/>
        <v>0</v>
      </c>
      <c r="J1220" s="17"/>
      <c r="K1220" s="17">
        <f t="shared" si="708"/>
        <v>0</v>
      </c>
      <c r="L1220" s="17"/>
      <c r="M1220" s="17">
        <f t="shared" si="709"/>
        <v>0</v>
      </c>
      <c r="N1220" s="17">
        <f t="shared" si="710"/>
        <v>0</v>
      </c>
      <c r="O1220" s="17">
        <f t="shared" si="711"/>
        <v>1800</v>
      </c>
      <c r="P1220" s="18">
        <v>0</v>
      </c>
      <c r="Q1220" s="18">
        <v>0</v>
      </c>
    </row>
    <row r="1221" spans="1:17" ht="12.75" customHeight="1">
      <c r="A1221" s="19" t="s">
        <v>95</v>
      </c>
      <c r="B1221" s="19"/>
      <c r="C1221" s="19"/>
      <c r="D1221" s="19"/>
      <c r="E1221" s="20">
        <f>SUM('DS1'!$A$310)</f>
        <v>1800</v>
      </c>
      <c r="F1221" s="20">
        <v>0</v>
      </c>
      <c r="G1221" s="20">
        <v>1800</v>
      </c>
      <c r="H1221" s="20">
        <v>0</v>
      </c>
      <c r="I1221" s="21">
        <v>0</v>
      </c>
      <c r="J1221" s="21"/>
      <c r="K1221" s="21">
        <v>0</v>
      </c>
      <c r="L1221" s="21"/>
      <c r="M1221" s="20">
        <v>0</v>
      </c>
      <c r="N1221" s="20">
        <v>0</v>
      </c>
      <c r="O1221" s="20">
        <v>1800</v>
      </c>
      <c r="P1221" s="22">
        <v>100</v>
      </c>
      <c r="Q1221" s="22">
        <v>0</v>
      </c>
    </row>
    <row r="1222" spans="1:17" ht="12.75" customHeight="1">
      <c r="A1222" s="23"/>
      <c r="B1222" s="24"/>
      <c r="C1222" s="24"/>
      <c r="D1222" s="24"/>
      <c r="E1222" s="23"/>
      <c r="F1222" s="20">
        <v>0</v>
      </c>
      <c r="G1222" s="20">
        <v>0</v>
      </c>
      <c r="H1222" s="20">
        <v>0</v>
      </c>
      <c r="I1222" s="21">
        <v>0</v>
      </c>
      <c r="J1222" s="21"/>
      <c r="K1222" s="21">
        <v>0</v>
      </c>
      <c r="L1222" s="21"/>
      <c r="M1222" s="20">
        <v>0</v>
      </c>
      <c r="N1222" s="20">
        <v>0</v>
      </c>
      <c r="O1222" s="20">
        <v>1800</v>
      </c>
      <c r="P1222" s="22">
        <v>0</v>
      </c>
      <c r="Q1222" s="22">
        <v>0</v>
      </c>
    </row>
    <row r="1223" spans="1:17" ht="20.25" customHeight="1">
      <c r="A1223" s="23"/>
      <c r="B1223" s="24"/>
      <c r="C1223" s="24"/>
      <c r="D1223" s="24"/>
      <c r="E1223" s="23"/>
      <c r="F1223" s="23"/>
      <c r="G1223" s="23"/>
      <c r="H1223" s="23"/>
      <c r="I1223" s="24"/>
      <c r="J1223" s="24"/>
      <c r="K1223" s="24"/>
      <c r="L1223" s="24"/>
      <c r="M1223" s="23"/>
      <c r="N1223" s="23"/>
      <c r="O1223" s="23"/>
      <c r="P1223" s="23"/>
      <c r="Q1223" s="23"/>
    </row>
    <row r="1224" spans="1:17" ht="12.75" customHeight="1">
      <c r="A1224" s="10"/>
      <c r="B1224" s="11" t="s">
        <v>778</v>
      </c>
      <c r="C1224" s="11"/>
      <c r="D1224" s="11"/>
      <c r="E1224" s="12">
        <f>ROUND(3600,2)</f>
        <v>3600</v>
      </c>
      <c r="F1224" s="12">
        <f aca="true" t="shared" si="712" ref="F1224:F1225">ROUND(0,2)</f>
        <v>0</v>
      </c>
      <c r="G1224" s="12">
        <f>ROUND(3600,2)</f>
        <v>3600</v>
      </c>
      <c r="H1224" s="12">
        <f aca="true" t="shared" si="713" ref="H1224:H1225">ROUND(0,2)</f>
        <v>0</v>
      </c>
      <c r="I1224" s="13">
        <f aca="true" t="shared" si="714" ref="I1224:I1225">ROUND(0,2)</f>
        <v>0</v>
      </c>
      <c r="J1224" s="13"/>
      <c r="K1224" s="13">
        <f aca="true" t="shared" si="715" ref="K1224:K1225">ROUND(0,2)</f>
        <v>0</v>
      </c>
      <c r="L1224" s="13"/>
      <c r="M1224" s="12">
        <f aca="true" t="shared" si="716" ref="M1224:M1225">ROUND(0,2)</f>
        <v>0</v>
      </c>
      <c r="N1224" s="12">
        <f aca="true" t="shared" si="717" ref="N1224:N1225">ROUND(0,2)</f>
        <v>0</v>
      </c>
      <c r="O1224" s="12">
        <f aca="true" t="shared" si="718" ref="O1224:O1225">ROUND(3600,2)</f>
        <v>3600</v>
      </c>
      <c r="P1224" s="14">
        <v>100</v>
      </c>
      <c r="Q1224" s="14">
        <v>0</v>
      </c>
    </row>
    <row r="1225" spans="1:17" ht="12.75" customHeight="1">
      <c r="A1225" s="15" t="s">
        <v>779</v>
      </c>
      <c r="B1225" s="15"/>
      <c r="C1225" s="15"/>
      <c r="D1225" s="15"/>
      <c r="E1225" s="16" t="s">
        <v>773</v>
      </c>
      <c r="F1225" s="17">
        <f t="shared" si="712"/>
        <v>0</v>
      </c>
      <c r="G1225" s="17">
        <f>ROUND(0,2)</f>
        <v>0</v>
      </c>
      <c r="H1225" s="17">
        <f t="shared" si="713"/>
        <v>0</v>
      </c>
      <c r="I1225" s="17">
        <f t="shared" si="714"/>
        <v>0</v>
      </c>
      <c r="J1225" s="17"/>
      <c r="K1225" s="17">
        <f t="shared" si="715"/>
        <v>0</v>
      </c>
      <c r="L1225" s="17"/>
      <c r="M1225" s="17">
        <f t="shared" si="716"/>
        <v>0</v>
      </c>
      <c r="N1225" s="17">
        <f t="shared" si="717"/>
        <v>0</v>
      </c>
      <c r="O1225" s="17">
        <f t="shared" si="718"/>
        <v>3600</v>
      </c>
      <c r="P1225" s="18">
        <v>0</v>
      </c>
      <c r="Q1225" s="18">
        <v>0</v>
      </c>
    </row>
    <row r="1226" spans="1:17" ht="12.75" customHeight="1">
      <c r="A1226" s="19" t="s">
        <v>124</v>
      </c>
      <c r="B1226" s="19"/>
      <c r="C1226" s="19"/>
      <c r="D1226" s="19"/>
      <c r="E1226" s="20">
        <f>SUM('DS1'!$A$311)</f>
        <v>3600</v>
      </c>
      <c r="F1226" s="20">
        <v>0</v>
      </c>
      <c r="G1226" s="20">
        <v>3600</v>
      </c>
      <c r="H1226" s="20">
        <v>0</v>
      </c>
      <c r="I1226" s="21">
        <v>0</v>
      </c>
      <c r="J1226" s="21"/>
      <c r="K1226" s="21">
        <v>0</v>
      </c>
      <c r="L1226" s="21"/>
      <c r="M1226" s="20">
        <v>0</v>
      </c>
      <c r="N1226" s="20">
        <v>0</v>
      </c>
      <c r="O1226" s="20">
        <v>3600</v>
      </c>
      <c r="P1226" s="22">
        <v>100</v>
      </c>
      <c r="Q1226" s="22">
        <v>0</v>
      </c>
    </row>
    <row r="1227" spans="1:17" ht="12.75" customHeight="1">
      <c r="A1227" s="23"/>
      <c r="B1227" s="24"/>
      <c r="C1227" s="24"/>
      <c r="D1227" s="24"/>
      <c r="E1227" s="23"/>
      <c r="F1227" s="20">
        <v>0</v>
      </c>
      <c r="G1227" s="20">
        <v>0</v>
      </c>
      <c r="H1227" s="20">
        <v>0</v>
      </c>
      <c r="I1227" s="21">
        <v>0</v>
      </c>
      <c r="J1227" s="21"/>
      <c r="K1227" s="21">
        <v>0</v>
      </c>
      <c r="L1227" s="21"/>
      <c r="M1227" s="20">
        <v>0</v>
      </c>
      <c r="N1227" s="20">
        <v>0</v>
      </c>
      <c r="O1227" s="20">
        <v>3600</v>
      </c>
      <c r="P1227" s="22">
        <v>0</v>
      </c>
      <c r="Q1227" s="22">
        <v>0</v>
      </c>
    </row>
    <row r="1228" spans="1:17" ht="20.25" customHeight="1">
      <c r="A1228" s="23"/>
      <c r="B1228" s="24"/>
      <c r="C1228" s="24"/>
      <c r="D1228" s="24"/>
      <c r="E1228" s="23"/>
      <c r="F1228" s="23"/>
      <c r="G1228" s="23"/>
      <c r="H1228" s="23"/>
      <c r="I1228" s="24"/>
      <c r="J1228" s="24"/>
      <c r="K1228" s="24"/>
      <c r="L1228" s="24"/>
      <c r="M1228" s="23"/>
      <c r="N1228" s="23"/>
      <c r="O1228" s="23"/>
      <c r="P1228" s="23"/>
      <c r="Q1228" s="23"/>
    </row>
    <row r="1229" spans="1:17" ht="12.75" customHeight="1">
      <c r="A1229" s="10"/>
      <c r="B1229" s="11" t="s">
        <v>780</v>
      </c>
      <c r="C1229" s="11"/>
      <c r="D1229" s="11"/>
      <c r="E1229" s="12">
        <f>ROUND(240000,2)</f>
        <v>240000</v>
      </c>
      <c r="F1229" s="12">
        <f>ROUND(-4825.97,2)</f>
        <v>-4825.97</v>
      </c>
      <c r="G1229" s="12">
        <f>ROUND(235174.03,2)</f>
        <v>235174.03</v>
      </c>
      <c r="H1229" s="12">
        <f>ROUND(117843.31,2)</f>
        <v>117843.31</v>
      </c>
      <c r="I1229" s="13">
        <f>ROUND(117843.31,2)</f>
        <v>117843.31</v>
      </c>
      <c r="J1229" s="13"/>
      <c r="K1229" s="13">
        <f>ROUND(85275.6,2)</f>
        <v>85275.6</v>
      </c>
      <c r="L1229" s="13"/>
      <c r="M1229" s="12">
        <f>ROUND(85275.6,2)</f>
        <v>85275.6</v>
      </c>
      <c r="N1229" s="12">
        <f>ROUND(66197.34,2)</f>
        <v>66197.34</v>
      </c>
      <c r="O1229" s="12">
        <f>ROUND(98296.49,2)</f>
        <v>98296.49</v>
      </c>
      <c r="P1229" s="14">
        <v>41.797340463145524</v>
      </c>
      <c r="Q1229" s="14">
        <v>36.26063643166722</v>
      </c>
    </row>
    <row r="1230" spans="1:17" ht="12.75" customHeight="1">
      <c r="A1230" s="15" t="s">
        <v>781</v>
      </c>
      <c r="B1230" s="15"/>
      <c r="C1230" s="15"/>
      <c r="D1230" s="15"/>
      <c r="E1230" s="16" t="s">
        <v>773</v>
      </c>
      <c r="F1230" s="17">
        <f>ROUND(0,2)</f>
        <v>0</v>
      </c>
      <c r="G1230" s="17">
        <f>ROUND(19034.23,2)</f>
        <v>19034.23</v>
      </c>
      <c r="H1230" s="17">
        <f>ROUND(0,2)</f>
        <v>0</v>
      </c>
      <c r="I1230" s="17">
        <f>ROUND(32567.71,2)</f>
        <v>32567.71</v>
      </c>
      <c r="J1230" s="17"/>
      <c r="K1230" s="17">
        <f>ROUND(0,2)</f>
        <v>0</v>
      </c>
      <c r="L1230" s="17"/>
      <c r="M1230" s="17">
        <f>ROUND(19078.26,2)</f>
        <v>19078.26</v>
      </c>
      <c r="N1230" s="17">
        <f>ROUND(0,2)</f>
        <v>0</v>
      </c>
      <c r="O1230" s="17">
        <f>ROUND(149898.43,2)</f>
        <v>149898.43</v>
      </c>
      <c r="P1230" s="18">
        <v>49.10137916666667</v>
      </c>
      <c r="Q1230" s="18">
        <v>77.62752768670053</v>
      </c>
    </row>
    <row r="1231" spans="1:17" ht="12.75" customHeight="1">
      <c r="A1231" s="19" t="s">
        <v>37</v>
      </c>
      <c r="B1231" s="19"/>
      <c r="C1231" s="19"/>
      <c r="D1231" s="19"/>
      <c r="E1231" s="20">
        <f>SUM('DS1'!$A$312)</f>
        <v>240000</v>
      </c>
      <c r="F1231" s="20">
        <v>-4825.97</v>
      </c>
      <c r="G1231" s="20">
        <v>235174.03</v>
      </c>
      <c r="H1231" s="20">
        <v>117843.31</v>
      </c>
      <c r="I1231" s="21">
        <v>117843.31</v>
      </c>
      <c r="J1231" s="21"/>
      <c r="K1231" s="21">
        <v>85275.6</v>
      </c>
      <c r="L1231" s="21"/>
      <c r="M1231" s="20">
        <v>85275.6</v>
      </c>
      <c r="N1231" s="20">
        <v>66197.34</v>
      </c>
      <c r="O1231" s="20">
        <v>98296.49</v>
      </c>
      <c r="P1231" s="22">
        <v>41.797340463145524</v>
      </c>
      <c r="Q1231" s="22">
        <v>36.26063643166722</v>
      </c>
    </row>
    <row r="1232" spans="1:17" ht="12.75" customHeight="1">
      <c r="A1232" s="23"/>
      <c r="B1232" s="24"/>
      <c r="C1232" s="24"/>
      <c r="D1232" s="24"/>
      <c r="E1232" s="23"/>
      <c r="F1232" s="20">
        <v>0</v>
      </c>
      <c r="G1232" s="20">
        <v>19034.229999999996</v>
      </c>
      <c r="H1232" s="20">
        <v>0</v>
      </c>
      <c r="I1232" s="21">
        <v>32567.709999999992</v>
      </c>
      <c r="J1232" s="21"/>
      <c r="K1232" s="21">
        <v>0</v>
      </c>
      <c r="L1232" s="21"/>
      <c r="M1232" s="20">
        <v>19078.26000000001</v>
      </c>
      <c r="N1232" s="20">
        <v>0</v>
      </c>
      <c r="O1232" s="20">
        <v>149898.43</v>
      </c>
      <c r="P1232" s="22">
        <v>50.10898099590333</v>
      </c>
      <c r="Q1232" s="22">
        <v>77.62752768670053</v>
      </c>
    </row>
    <row r="1233" spans="1:17" ht="20.25" customHeight="1">
      <c r="A1233" s="23"/>
      <c r="B1233" s="24"/>
      <c r="C1233" s="24"/>
      <c r="D1233" s="24"/>
      <c r="E1233" s="23"/>
      <c r="F1233" s="23"/>
      <c r="G1233" s="23"/>
      <c r="H1233" s="23"/>
      <c r="I1233" s="24"/>
      <c r="J1233" s="24"/>
      <c r="K1233" s="24"/>
      <c r="L1233" s="24"/>
      <c r="M1233" s="23"/>
      <c r="N1233" s="23"/>
      <c r="O1233" s="23"/>
      <c r="P1233" s="23"/>
      <c r="Q1233" s="23"/>
    </row>
    <row r="1234" spans="1:17" ht="12.75" customHeight="1">
      <c r="A1234" s="10"/>
      <c r="B1234" s="11" t="s">
        <v>782</v>
      </c>
      <c r="C1234" s="11"/>
      <c r="D1234" s="11"/>
      <c r="E1234" s="12">
        <f>ROUND(24300,2)</f>
        <v>24300</v>
      </c>
      <c r="F1234" s="12">
        <f aca="true" t="shared" si="719" ref="F1234:F1271">ROUND(0,2)</f>
        <v>0</v>
      </c>
      <c r="G1234" s="12">
        <f>ROUND(24300,2)</f>
        <v>24300</v>
      </c>
      <c r="H1234" s="12">
        <f>ROUND(22113,2)</f>
        <v>22113</v>
      </c>
      <c r="I1234" s="13">
        <f>ROUND(22113,2)</f>
        <v>22113</v>
      </c>
      <c r="J1234" s="13"/>
      <c r="K1234" s="13">
        <f>ROUND(22113,2)</f>
        <v>22113</v>
      </c>
      <c r="L1234" s="13"/>
      <c r="M1234" s="12">
        <f aca="true" t="shared" si="720" ref="M1234:M1235">ROUND(22113,2)</f>
        <v>22113</v>
      </c>
      <c r="N1234" s="12">
        <f aca="true" t="shared" si="721" ref="N1234:N1241">ROUND(0,2)</f>
        <v>0</v>
      </c>
      <c r="O1234" s="12">
        <f aca="true" t="shared" si="722" ref="O1234:O1235">ROUND(2187,2)</f>
        <v>2187</v>
      </c>
      <c r="P1234" s="14">
        <v>9</v>
      </c>
      <c r="Q1234" s="14">
        <v>91</v>
      </c>
    </row>
    <row r="1235" spans="1:17" ht="12.75" customHeight="1">
      <c r="A1235" s="15" t="s">
        <v>783</v>
      </c>
      <c r="B1235" s="15"/>
      <c r="C1235" s="15"/>
      <c r="D1235" s="15"/>
      <c r="E1235" s="16" t="s">
        <v>784</v>
      </c>
      <c r="F1235" s="17">
        <f t="shared" si="719"/>
        <v>0</v>
      </c>
      <c r="G1235" s="17">
        <f>ROUND(0,2)</f>
        <v>0</v>
      </c>
      <c r="H1235" s="17">
        <f>ROUND(0,2)</f>
        <v>0</v>
      </c>
      <c r="I1235" s="17">
        <f>ROUND(0,2)</f>
        <v>0</v>
      </c>
      <c r="J1235" s="17"/>
      <c r="K1235" s="17">
        <f aca="true" t="shared" si="723" ref="K1235:K1239">ROUND(0,2)</f>
        <v>0</v>
      </c>
      <c r="L1235" s="17"/>
      <c r="M1235" s="17">
        <f t="shared" si="720"/>
        <v>22113</v>
      </c>
      <c r="N1235" s="17">
        <f t="shared" si="721"/>
        <v>0</v>
      </c>
      <c r="O1235" s="17">
        <f t="shared" si="722"/>
        <v>2187</v>
      </c>
      <c r="P1235" s="18">
        <v>91</v>
      </c>
      <c r="Q1235" s="18">
        <v>0</v>
      </c>
    </row>
    <row r="1236" spans="1:17" ht="12.75" customHeight="1">
      <c r="A1236" s="10"/>
      <c r="B1236" s="11" t="s">
        <v>785</v>
      </c>
      <c r="C1236" s="11"/>
      <c r="D1236" s="11"/>
      <c r="E1236" s="12">
        <f>ROUND(36000,2)</f>
        <v>36000</v>
      </c>
      <c r="F1236" s="12">
        <f t="shared" si="719"/>
        <v>0</v>
      </c>
      <c r="G1236" s="12">
        <f>ROUND(36000,2)</f>
        <v>36000</v>
      </c>
      <c r="H1236" s="12">
        <f>ROUND(36000,2)</f>
        <v>36000</v>
      </c>
      <c r="I1236" s="13">
        <f aca="true" t="shared" si="724" ref="I1236:I1237">ROUND(36000,2)</f>
        <v>36000</v>
      </c>
      <c r="J1236" s="13"/>
      <c r="K1236" s="13">
        <f t="shared" si="723"/>
        <v>0</v>
      </c>
      <c r="L1236" s="13"/>
      <c r="M1236" s="12">
        <f aca="true" t="shared" si="725" ref="M1236:M1239">ROUND(0,2)</f>
        <v>0</v>
      </c>
      <c r="N1236" s="12">
        <f t="shared" si="721"/>
        <v>0</v>
      </c>
      <c r="O1236" s="12">
        <f>ROUND(0,2)</f>
        <v>0</v>
      </c>
      <c r="P1236" s="14">
        <v>0</v>
      </c>
      <c r="Q1236" s="14">
        <v>0</v>
      </c>
    </row>
    <row r="1237" spans="1:17" ht="12.75" customHeight="1">
      <c r="A1237" s="15" t="s">
        <v>786</v>
      </c>
      <c r="B1237" s="15"/>
      <c r="C1237" s="15"/>
      <c r="D1237" s="15"/>
      <c r="E1237" s="16" t="s">
        <v>784</v>
      </c>
      <c r="F1237" s="17">
        <f t="shared" si="719"/>
        <v>0</v>
      </c>
      <c r="G1237" s="17">
        <f>ROUND(0,2)</f>
        <v>0</v>
      </c>
      <c r="H1237" s="17">
        <f aca="true" t="shared" si="726" ref="H1237:H1239">ROUND(0,2)</f>
        <v>0</v>
      </c>
      <c r="I1237" s="17">
        <f t="shared" si="724"/>
        <v>36000</v>
      </c>
      <c r="J1237" s="17"/>
      <c r="K1237" s="17">
        <f t="shared" si="723"/>
        <v>0</v>
      </c>
      <c r="L1237" s="17"/>
      <c r="M1237" s="17">
        <f t="shared" si="725"/>
        <v>0</v>
      </c>
      <c r="N1237" s="17">
        <f t="shared" si="721"/>
        <v>0</v>
      </c>
      <c r="O1237" s="17">
        <f>ROUND(36000,2)</f>
        <v>36000</v>
      </c>
      <c r="P1237" s="18">
        <v>100</v>
      </c>
      <c r="Q1237" s="18">
        <v>0</v>
      </c>
    </row>
    <row r="1238" spans="1:17" ht="12.75" customHeight="1">
      <c r="A1238" s="10"/>
      <c r="B1238" s="11" t="s">
        <v>787</v>
      </c>
      <c r="C1238" s="11"/>
      <c r="D1238" s="11"/>
      <c r="E1238" s="12">
        <f>ROUND(3600,2)</f>
        <v>3600</v>
      </c>
      <c r="F1238" s="12">
        <f t="shared" si="719"/>
        <v>0</v>
      </c>
      <c r="G1238" s="12">
        <f>ROUND(3600,2)</f>
        <v>3600</v>
      </c>
      <c r="H1238" s="12">
        <f t="shared" si="726"/>
        <v>0</v>
      </c>
      <c r="I1238" s="13">
        <f aca="true" t="shared" si="727" ref="I1238:I1239">ROUND(0,2)</f>
        <v>0</v>
      </c>
      <c r="J1238" s="13"/>
      <c r="K1238" s="13">
        <f t="shared" si="723"/>
        <v>0</v>
      </c>
      <c r="L1238" s="13"/>
      <c r="M1238" s="12">
        <f t="shared" si="725"/>
        <v>0</v>
      </c>
      <c r="N1238" s="12">
        <f t="shared" si="721"/>
        <v>0</v>
      </c>
      <c r="O1238" s="12">
        <f aca="true" t="shared" si="728" ref="O1238:O1239">ROUND(3600,2)</f>
        <v>3600</v>
      </c>
      <c r="P1238" s="14">
        <v>100</v>
      </c>
      <c r="Q1238" s="14">
        <v>0</v>
      </c>
    </row>
    <row r="1239" spans="1:17" ht="12.75" customHeight="1">
      <c r="A1239" s="15" t="s">
        <v>788</v>
      </c>
      <c r="B1239" s="15"/>
      <c r="C1239" s="15"/>
      <c r="D1239" s="15"/>
      <c r="E1239" s="16" t="s">
        <v>784</v>
      </c>
      <c r="F1239" s="17">
        <f t="shared" si="719"/>
        <v>0</v>
      </c>
      <c r="G1239" s="17">
        <f>ROUND(0,2)</f>
        <v>0</v>
      </c>
      <c r="H1239" s="17">
        <f t="shared" si="726"/>
        <v>0</v>
      </c>
      <c r="I1239" s="17">
        <f t="shared" si="727"/>
        <v>0</v>
      </c>
      <c r="J1239" s="17"/>
      <c r="K1239" s="17">
        <f t="shared" si="723"/>
        <v>0</v>
      </c>
      <c r="L1239" s="17"/>
      <c r="M1239" s="17">
        <f t="shared" si="725"/>
        <v>0</v>
      </c>
      <c r="N1239" s="17">
        <f t="shared" si="721"/>
        <v>0</v>
      </c>
      <c r="O1239" s="17">
        <f t="shared" si="728"/>
        <v>3600</v>
      </c>
      <c r="P1239" s="18">
        <v>0</v>
      </c>
      <c r="Q1239" s="18">
        <v>0</v>
      </c>
    </row>
    <row r="1240" spans="1:17" ht="12.75" customHeight="1">
      <c r="A1240" s="10"/>
      <c r="B1240" s="11" t="s">
        <v>789</v>
      </c>
      <c r="C1240" s="11"/>
      <c r="D1240" s="11"/>
      <c r="E1240" s="12">
        <f>ROUND(4500,2)</f>
        <v>4500</v>
      </c>
      <c r="F1240" s="12">
        <f t="shared" si="719"/>
        <v>0</v>
      </c>
      <c r="G1240" s="12">
        <f>ROUND(4500,2)</f>
        <v>4500</v>
      </c>
      <c r="H1240" s="12">
        <f>ROUND(4500,2)</f>
        <v>4500</v>
      </c>
      <c r="I1240" s="13">
        <f>ROUND(4500,2)</f>
        <v>4500</v>
      </c>
      <c r="J1240" s="13"/>
      <c r="K1240" s="13">
        <f>ROUND(4500,2)</f>
        <v>4500</v>
      </c>
      <c r="L1240" s="13"/>
      <c r="M1240" s="12">
        <f aca="true" t="shared" si="729" ref="M1240:M1241">ROUND(4500,2)</f>
        <v>4500</v>
      </c>
      <c r="N1240" s="12">
        <f t="shared" si="721"/>
        <v>0</v>
      </c>
      <c r="O1240" s="12">
        <f aca="true" t="shared" si="730" ref="O1240:O1244">ROUND(0,2)</f>
        <v>0</v>
      </c>
      <c r="P1240" s="14">
        <v>0</v>
      </c>
      <c r="Q1240" s="14">
        <v>100</v>
      </c>
    </row>
    <row r="1241" spans="1:17" ht="12.75" customHeight="1">
      <c r="A1241" s="15" t="s">
        <v>790</v>
      </c>
      <c r="B1241" s="15"/>
      <c r="C1241" s="15"/>
      <c r="D1241" s="15"/>
      <c r="E1241" s="16" t="s">
        <v>784</v>
      </c>
      <c r="F1241" s="17">
        <f t="shared" si="719"/>
        <v>0</v>
      </c>
      <c r="G1241" s="17">
        <f>ROUND(0,2)</f>
        <v>0</v>
      </c>
      <c r="H1241" s="17">
        <f>ROUND(0,2)</f>
        <v>0</v>
      </c>
      <c r="I1241" s="17">
        <f>ROUND(0,2)</f>
        <v>0</v>
      </c>
      <c r="J1241" s="17"/>
      <c r="K1241" s="17">
        <f>ROUND(0,2)</f>
        <v>0</v>
      </c>
      <c r="L1241" s="17"/>
      <c r="M1241" s="17">
        <f t="shared" si="729"/>
        <v>4500</v>
      </c>
      <c r="N1241" s="17">
        <f t="shared" si="721"/>
        <v>0</v>
      </c>
      <c r="O1241" s="17">
        <f t="shared" si="730"/>
        <v>0</v>
      </c>
      <c r="P1241" s="18">
        <v>100</v>
      </c>
      <c r="Q1241" s="18">
        <v>0</v>
      </c>
    </row>
    <row r="1242" spans="1:17" ht="12.75" customHeight="1">
      <c r="A1242" s="10"/>
      <c r="B1242" s="11" t="s">
        <v>791</v>
      </c>
      <c r="C1242" s="11"/>
      <c r="D1242" s="11"/>
      <c r="E1242" s="12">
        <f>ROUND(3600,2)</f>
        <v>3600</v>
      </c>
      <c r="F1242" s="12">
        <f t="shared" si="719"/>
        <v>0</v>
      </c>
      <c r="G1242" s="12">
        <f>ROUND(3600,2)</f>
        <v>3600</v>
      </c>
      <c r="H1242" s="12">
        <f>ROUND(3600,2)</f>
        <v>3600</v>
      </c>
      <c r="I1242" s="13">
        <f>ROUND(3600,2)</f>
        <v>3600</v>
      </c>
      <c r="J1242" s="13"/>
      <c r="K1242" s="13">
        <f>ROUND(3600,2)</f>
        <v>3600</v>
      </c>
      <c r="L1242" s="13"/>
      <c r="M1242" s="12">
        <f>ROUND(3600,2)</f>
        <v>3600</v>
      </c>
      <c r="N1242" s="12">
        <f>ROUND(3600,2)</f>
        <v>3600</v>
      </c>
      <c r="O1242" s="12">
        <f t="shared" si="730"/>
        <v>0</v>
      </c>
      <c r="P1242" s="14">
        <v>0</v>
      </c>
      <c r="Q1242" s="14">
        <v>100</v>
      </c>
    </row>
    <row r="1243" spans="1:17" ht="12.75" customHeight="1">
      <c r="A1243" s="15" t="s">
        <v>792</v>
      </c>
      <c r="B1243" s="15"/>
      <c r="C1243" s="15"/>
      <c r="D1243" s="15"/>
      <c r="E1243" s="16" t="s">
        <v>784</v>
      </c>
      <c r="F1243" s="17">
        <f t="shared" si="719"/>
        <v>0</v>
      </c>
      <c r="G1243" s="17">
        <f>ROUND(0,2)</f>
        <v>0</v>
      </c>
      <c r="H1243" s="17">
        <f>ROUND(0,2)</f>
        <v>0</v>
      </c>
      <c r="I1243" s="17">
        <f>ROUND(0,2)</f>
        <v>0</v>
      </c>
      <c r="J1243" s="17"/>
      <c r="K1243" s="17">
        <f aca="true" t="shared" si="731" ref="K1243:K1247">ROUND(0,2)</f>
        <v>0</v>
      </c>
      <c r="L1243" s="17"/>
      <c r="M1243" s="17">
        <f aca="true" t="shared" si="732" ref="M1243:M1247">ROUND(0,2)</f>
        <v>0</v>
      </c>
      <c r="N1243" s="17">
        <f aca="true" t="shared" si="733" ref="N1243:N1247">ROUND(0,2)</f>
        <v>0</v>
      </c>
      <c r="O1243" s="17">
        <f t="shared" si="730"/>
        <v>0</v>
      </c>
      <c r="P1243" s="18">
        <v>100</v>
      </c>
      <c r="Q1243" s="18">
        <v>100</v>
      </c>
    </row>
    <row r="1244" spans="1:17" ht="12.75" customHeight="1">
      <c r="A1244" s="10"/>
      <c r="B1244" s="11" t="s">
        <v>793</v>
      </c>
      <c r="C1244" s="11"/>
      <c r="D1244" s="11"/>
      <c r="E1244" s="12">
        <f>ROUND(22500,2)</f>
        <v>22500</v>
      </c>
      <c r="F1244" s="12">
        <f t="shared" si="719"/>
        <v>0</v>
      </c>
      <c r="G1244" s="12">
        <f>ROUND(22500,2)</f>
        <v>22500</v>
      </c>
      <c r="H1244" s="12">
        <f>ROUND(22500,2)</f>
        <v>22500</v>
      </c>
      <c r="I1244" s="13">
        <f aca="true" t="shared" si="734" ref="I1244:I1245">ROUND(22500,2)</f>
        <v>22500</v>
      </c>
      <c r="J1244" s="13"/>
      <c r="K1244" s="13">
        <f t="shared" si="731"/>
        <v>0</v>
      </c>
      <c r="L1244" s="13"/>
      <c r="M1244" s="12">
        <f t="shared" si="732"/>
        <v>0</v>
      </c>
      <c r="N1244" s="12">
        <f t="shared" si="733"/>
        <v>0</v>
      </c>
      <c r="O1244" s="12">
        <f t="shared" si="730"/>
        <v>0</v>
      </c>
      <c r="P1244" s="14">
        <v>0</v>
      </c>
      <c r="Q1244" s="14">
        <v>0</v>
      </c>
    </row>
    <row r="1245" spans="1:17" ht="12.75" customHeight="1">
      <c r="A1245" s="15" t="s">
        <v>794</v>
      </c>
      <c r="B1245" s="15"/>
      <c r="C1245" s="15"/>
      <c r="D1245" s="15"/>
      <c r="E1245" s="16" t="s">
        <v>784</v>
      </c>
      <c r="F1245" s="17">
        <f t="shared" si="719"/>
        <v>0</v>
      </c>
      <c r="G1245" s="17">
        <f>ROUND(0,2)</f>
        <v>0</v>
      </c>
      <c r="H1245" s="17">
        <f aca="true" t="shared" si="735" ref="H1245:H1247">ROUND(0,2)</f>
        <v>0</v>
      </c>
      <c r="I1245" s="17">
        <f t="shared" si="734"/>
        <v>22500</v>
      </c>
      <c r="J1245" s="17"/>
      <c r="K1245" s="17">
        <f t="shared" si="731"/>
        <v>0</v>
      </c>
      <c r="L1245" s="17"/>
      <c r="M1245" s="17">
        <f t="shared" si="732"/>
        <v>0</v>
      </c>
      <c r="N1245" s="17">
        <f t="shared" si="733"/>
        <v>0</v>
      </c>
      <c r="O1245" s="17">
        <f>ROUND(22500,2)</f>
        <v>22500</v>
      </c>
      <c r="P1245" s="18">
        <v>100</v>
      </c>
      <c r="Q1245" s="18">
        <v>0</v>
      </c>
    </row>
    <row r="1246" spans="1:17" ht="12.75" customHeight="1">
      <c r="A1246" s="10"/>
      <c r="B1246" s="11" t="s">
        <v>795</v>
      </c>
      <c r="C1246" s="11"/>
      <c r="D1246" s="11"/>
      <c r="E1246" s="12">
        <f>ROUND(10800,2)</f>
        <v>10800</v>
      </c>
      <c r="F1246" s="12">
        <f t="shared" si="719"/>
        <v>0</v>
      </c>
      <c r="G1246" s="12">
        <f>ROUND(10800,2)</f>
        <v>10800</v>
      </c>
      <c r="H1246" s="12">
        <f t="shared" si="735"/>
        <v>0</v>
      </c>
      <c r="I1246" s="13">
        <f aca="true" t="shared" si="736" ref="I1246:I1247">ROUND(0,2)</f>
        <v>0</v>
      </c>
      <c r="J1246" s="13"/>
      <c r="K1246" s="13">
        <f t="shared" si="731"/>
        <v>0</v>
      </c>
      <c r="L1246" s="13"/>
      <c r="M1246" s="12">
        <f t="shared" si="732"/>
        <v>0</v>
      </c>
      <c r="N1246" s="12">
        <f t="shared" si="733"/>
        <v>0</v>
      </c>
      <c r="O1246" s="12">
        <f aca="true" t="shared" si="737" ref="O1246:O1247">ROUND(10800,2)</f>
        <v>10800</v>
      </c>
      <c r="P1246" s="14">
        <v>100</v>
      </c>
      <c r="Q1246" s="14">
        <v>0</v>
      </c>
    </row>
    <row r="1247" spans="1:17" ht="12.75" customHeight="1">
      <c r="A1247" s="15" t="s">
        <v>796</v>
      </c>
      <c r="B1247" s="15"/>
      <c r="C1247" s="15"/>
      <c r="D1247" s="15"/>
      <c r="E1247" s="16" t="s">
        <v>784</v>
      </c>
      <c r="F1247" s="17">
        <f t="shared" si="719"/>
        <v>0</v>
      </c>
      <c r="G1247" s="17">
        <f>ROUND(0,2)</f>
        <v>0</v>
      </c>
      <c r="H1247" s="17">
        <f t="shared" si="735"/>
        <v>0</v>
      </c>
      <c r="I1247" s="17">
        <f t="shared" si="736"/>
        <v>0</v>
      </c>
      <c r="J1247" s="17"/>
      <c r="K1247" s="17">
        <f t="shared" si="731"/>
        <v>0</v>
      </c>
      <c r="L1247" s="17"/>
      <c r="M1247" s="17">
        <f t="shared" si="732"/>
        <v>0</v>
      </c>
      <c r="N1247" s="17">
        <f t="shared" si="733"/>
        <v>0</v>
      </c>
      <c r="O1247" s="17">
        <f t="shared" si="737"/>
        <v>10800</v>
      </c>
      <c r="P1247" s="18">
        <v>0</v>
      </c>
      <c r="Q1247" s="18">
        <v>0</v>
      </c>
    </row>
    <row r="1248" spans="1:17" ht="12.75" customHeight="1">
      <c r="A1248" s="10"/>
      <c r="B1248" s="11" t="s">
        <v>797</v>
      </c>
      <c r="C1248" s="11"/>
      <c r="D1248" s="11"/>
      <c r="E1248" s="12">
        <f>ROUND(31500,2)</f>
        <v>31500</v>
      </c>
      <c r="F1248" s="12">
        <f t="shared" si="719"/>
        <v>0</v>
      </c>
      <c r="G1248" s="12">
        <f>ROUND(31500,2)</f>
        <v>31500</v>
      </c>
      <c r="H1248" s="12">
        <f>ROUND(31500,2)</f>
        <v>31500</v>
      </c>
      <c r="I1248" s="13">
        <f>ROUND(31500,2)</f>
        <v>31500</v>
      </c>
      <c r="J1248" s="13"/>
      <c r="K1248" s="13">
        <f>ROUND(31500,2)</f>
        <v>31500</v>
      </c>
      <c r="L1248" s="13"/>
      <c r="M1248" s="12">
        <f>ROUND(31500,2)</f>
        <v>31500</v>
      </c>
      <c r="N1248" s="12">
        <f>ROUND(31500,2)</f>
        <v>31500</v>
      </c>
      <c r="O1248" s="12">
        <f aca="true" t="shared" si="738" ref="O1248:O1249">ROUND(0,2)</f>
        <v>0</v>
      </c>
      <c r="P1248" s="14">
        <v>0</v>
      </c>
      <c r="Q1248" s="14">
        <v>100</v>
      </c>
    </row>
    <row r="1249" spans="1:17" ht="12.75" customHeight="1">
      <c r="A1249" s="15" t="s">
        <v>798</v>
      </c>
      <c r="B1249" s="15"/>
      <c r="C1249" s="15"/>
      <c r="D1249" s="15"/>
      <c r="E1249" s="16" t="s">
        <v>784</v>
      </c>
      <c r="F1249" s="17">
        <f t="shared" si="719"/>
        <v>0</v>
      </c>
      <c r="G1249" s="17">
        <f>ROUND(0,2)</f>
        <v>0</v>
      </c>
      <c r="H1249" s="17">
        <f aca="true" t="shared" si="739" ref="H1249:H1251">ROUND(0,2)</f>
        <v>0</v>
      </c>
      <c r="I1249" s="17">
        <f aca="true" t="shared" si="740" ref="I1249:I1251">ROUND(0,2)</f>
        <v>0</v>
      </c>
      <c r="J1249" s="17"/>
      <c r="K1249" s="17">
        <f aca="true" t="shared" si="741" ref="K1249:K1251">ROUND(0,2)</f>
        <v>0</v>
      </c>
      <c r="L1249" s="17"/>
      <c r="M1249" s="17">
        <f aca="true" t="shared" si="742" ref="M1249:M1251">ROUND(0,2)</f>
        <v>0</v>
      </c>
      <c r="N1249" s="17">
        <f aca="true" t="shared" si="743" ref="N1249:N1251">ROUND(0,2)</f>
        <v>0</v>
      </c>
      <c r="O1249" s="17">
        <f t="shared" si="738"/>
        <v>0</v>
      </c>
      <c r="P1249" s="18">
        <v>100</v>
      </c>
      <c r="Q1249" s="18">
        <v>100</v>
      </c>
    </row>
    <row r="1250" spans="1:17" ht="12.75" customHeight="1">
      <c r="A1250" s="10"/>
      <c r="B1250" s="11" t="s">
        <v>799</v>
      </c>
      <c r="C1250" s="11"/>
      <c r="D1250" s="11"/>
      <c r="E1250" s="12">
        <f>ROUND(27000,2)</f>
        <v>27000</v>
      </c>
      <c r="F1250" s="12">
        <f t="shared" si="719"/>
        <v>0</v>
      </c>
      <c r="G1250" s="12">
        <f>ROUND(27000,2)</f>
        <v>27000</v>
      </c>
      <c r="H1250" s="12">
        <f t="shared" si="739"/>
        <v>0</v>
      </c>
      <c r="I1250" s="13">
        <f t="shared" si="740"/>
        <v>0</v>
      </c>
      <c r="J1250" s="13"/>
      <c r="K1250" s="13">
        <f t="shared" si="741"/>
        <v>0</v>
      </c>
      <c r="L1250" s="13"/>
      <c r="M1250" s="12">
        <f t="shared" si="742"/>
        <v>0</v>
      </c>
      <c r="N1250" s="12">
        <f t="shared" si="743"/>
        <v>0</v>
      </c>
      <c r="O1250" s="12">
        <f aca="true" t="shared" si="744" ref="O1250:O1251">ROUND(27000,2)</f>
        <v>27000</v>
      </c>
      <c r="P1250" s="14">
        <v>100</v>
      </c>
      <c r="Q1250" s="14">
        <v>0</v>
      </c>
    </row>
    <row r="1251" spans="1:17" ht="12.75" customHeight="1">
      <c r="A1251" s="15" t="s">
        <v>800</v>
      </c>
      <c r="B1251" s="15"/>
      <c r="C1251" s="15"/>
      <c r="D1251" s="15"/>
      <c r="E1251" s="16" t="s">
        <v>784</v>
      </c>
      <c r="F1251" s="17">
        <f t="shared" si="719"/>
        <v>0</v>
      </c>
      <c r="G1251" s="17">
        <f>ROUND(0,2)</f>
        <v>0</v>
      </c>
      <c r="H1251" s="17">
        <f t="shared" si="739"/>
        <v>0</v>
      </c>
      <c r="I1251" s="17">
        <f t="shared" si="740"/>
        <v>0</v>
      </c>
      <c r="J1251" s="17"/>
      <c r="K1251" s="17">
        <f t="shared" si="741"/>
        <v>0</v>
      </c>
      <c r="L1251" s="17"/>
      <c r="M1251" s="17">
        <f t="shared" si="742"/>
        <v>0</v>
      </c>
      <c r="N1251" s="17">
        <f t="shared" si="743"/>
        <v>0</v>
      </c>
      <c r="O1251" s="17">
        <f t="shared" si="744"/>
        <v>27000</v>
      </c>
      <c r="P1251" s="18">
        <v>0</v>
      </c>
      <c r="Q1251" s="18">
        <v>0</v>
      </c>
    </row>
    <row r="1252" spans="1:17" ht="12.75" customHeight="1">
      <c r="A1252" s="10"/>
      <c r="B1252" s="11" t="s">
        <v>801</v>
      </c>
      <c r="C1252" s="11"/>
      <c r="D1252" s="11"/>
      <c r="E1252" s="12">
        <f>ROUND(10800,2)</f>
        <v>10800</v>
      </c>
      <c r="F1252" s="12">
        <f t="shared" si="719"/>
        <v>0</v>
      </c>
      <c r="G1252" s="12">
        <f>ROUND(10800,2)</f>
        <v>10800</v>
      </c>
      <c r="H1252" s="12">
        <f>ROUND(470,2)</f>
        <v>470</v>
      </c>
      <c r="I1252" s="13">
        <f>ROUND(470,2)</f>
        <v>470</v>
      </c>
      <c r="J1252" s="13"/>
      <c r="K1252" s="13">
        <f>ROUND(470,2)</f>
        <v>470</v>
      </c>
      <c r="L1252" s="13"/>
      <c r="M1252" s="12">
        <f>ROUND(470,2)</f>
        <v>470</v>
      </c>
      <c r="N1252" s="12">
        <f>ROUND(470,2)</f>
        <v>470</v>
      </c>
      <c r="O1252" s="12">
        <f aca="true" t="shared" si="745" ref="O1252:O1253">ROUND(10330,2)</f>
        <v>10330</v>
      </c>
      <c r="P1252" s="14">
        <v>95.64814814814815</v>
      </c>
      <c r="Q1252" s="14">
        <v>4.351851851851852</v>
      </c>
    </row>
    <row r="1253" spans="1:17" ht="12.75" customHeight="1">
      <c r="A1253" s="15" t="s">
        <v>802</v>
      </c>
      <c r="B1253" s="15"/>
      <c r="C1253" s="15"/>
      <c r="D1253" s="15"/>
      <c r="E1253" s="16" t="s">
        <v>784</v>
      </c>
      <c r="F1253" s="17">
        <f t="shared" si="719"/>
        <v>0</v>
      </c>
      <c r="G1253" s="17">
        <f>ROUND(0,2)</f>
        <v>0</v>
      </c>
      <c r="H1253" s="17">
        <f>ROUND(0,2)</f>
        <v>0</v>
      </c>
      <c r="I1253" s="17">
        <f>ROUND(0,2)</f>
        <v>0</v>
      </c>
      <c r="J1253" s="17"/>
      <c r="K1253" s="17">
        <f>ROUND(0,2)</f>
        <v>0</v>
      </c>
      <c r="L1253" s="17"/>
      <c r="M1253" s="17">
        <f>ROUND(0,2)</f>
        <v>0</v>
      </c>
      <c r="N1253" s="17">
        <f>ROUND(0,2)</f>
        <v>0</v>
      </c>
      <c r="O1253" s="17">
        <f t="shared" si="745"/>
        <v>10330</v>
      </c>
      <c r="P1253" s="18">
        <v>4.351851851851852</v>
      </c>
      <c r="Q1253" s="18">
        <v>100</v>
      </c>
    </row>
    <row r="1254" spans="1:17" ht="12.75" customHeight="1">
      <c r="A1254" s="10"/>
      <c r="B1254" s="11" t="s">
        <v>803</v>
      </c>
      <c r="C1254" s="11"/>
      <c r="D1254" s="11"/>
      <c r="E1254" s="12">
        <f>ROUND(36000,2)</f>
        <v>36000</v>
      </c>
      <c r="F1254" s="12">
        <f t="shared" si="719"/>
        <v>0</v>
      </c>
      <c r="G1254" s="12">
        <f>ROUND(36000,2)</f>
        <v>36000</v>
      </c>
      <c r="H1254" s="12">
        <f>ROUND(30308.69,2)</f>
        <v>30308.69</v>
      </c>
      <c r="I1254" s="13">
        <f>ROUND(30308.69,2)</f>
        <v>30308.69</v>
      </c>
      <c r="J1254" s="13"/>
      <c r="K1254" s="13">
        <f>ROUND(30308.69,2)</f>
        <v>30308.69</v>
      </c>
      <c r="L1254" s="13"/>
      <c r="M1254" s="12">
        <f>ROUND(30308.69,2)</f>
        <v>30308.69</v>
      </c>
      <c r="N1254" s="12">
        <f>ROUND(30308.69,2)</f>
        <v>30308.69</v>
      </c>
      <c r="O1254" s="12">
        <f>ROUND(5691.31,2)</f>
        <v>5691.31</v>
      </c>
      <c r="P1254" s="14">
        <v>15.809194444444447</v>
      </c>
      <c r="Q1254" s="14">
        <v>84.19080555555554</v>
      </c>
    </row>
    <row r="1255" spans="1:17" ht="12.75" customHeight="1">
      <c r="A1255" s="15" t="s">
        <v>804</v>
      </c>
      <c r="B1255" s="15"/>
      <c r="C1255" s="15"/>
      <c r="D1255" s="15"/>
      <c r="E1255" s="16" t="s">
        <v>784</v>
      </c>
      <c r="F1255" s="17">
        <f t="shared" si="719"/>
        <v>0</v>
      </c>
      <c r="G1255" s="17">
        <f>ROUND(0,2)</f>
        <v>0</v>
      </c>
      <c r="H1255" s="17">
        <f aca="true" t="shared" si="746" ref="H1255:H1257">ROUND(0,2)</f>
        <v>0</v>
      </c>
      <c r="I1255" s="17">
        <f aca="true" t="shared" si="747" ref="I1255:I1257">ROUND(0,2)</f>
        <v>0</v>
      </c>
      <c r="J1255" s="17"/>
      <c r="K1255" s="17">
        <f aca="true" t="shared" si="748" ref="K1255:K1257">ROUND(0,2)</f>
        <v>0</v>
      </c>
      <c r="L1255" s="17"/>
      <c r="M1255" s="17">
        <f aca="true" t="shared" si="749" ref="M1255:M1257">ROUND(0,2)</f>
        <v>0</v>
      </c>
      <c r="N1255" s="17">
        <f aca="true" t="shared" si="750" ref="N1255:N1257">ROUND(0,2)</f>
        <v>0</v>
      </c>
      <c r="O1255" s="17">
        <f>ROUND(5691.31,2)</f>
        <v>5691.31</v>
      </c>
      <c r="P1255" s="18">
        <v>84.19080555555554</v>
      </c>
      <c r="Q1255" s="18">
        <v>100</v>
      </c>
    </row>
    <row r="1256" spans="1:17" ht="12.75" customHeight="1">
      <c r="A1256" s="10"/>
      <c r="B1256" s="11" t="s">
        <v>805</v>
      </c>
      <c r="C1256" s="11"/>
      <c r="D1256" s="11"/>
      <c r="E1256" s="12">
        <f>ROUND(4000,2)</f>
        <v>4000</v>
      </c>
      <c r="F1256" s="12">
        <f t="shared" si="719"/>
        <v>0</v>
      </c>
      <c r="G1256" s="12">
        <f>ROUND(4000,2)</f>
        <v>4000</v>
      </c>
      <c r="H1256" s="12">
        <f t="shared" si="746"/>
        <v>0</v>
      </c>
      <c r="I1256" s="13">
        <f t="shared" si="747"/>
        <v>0</v>
      </c>
      <c r="J1256" s="13"/>
      <c r="K1256" s="13">
        <f t="shared" si="748"/>
        <v>0</v>
      </c>
      <c r="L1256" s="13"/>
      <c r="M1256" s="12">
        <f t="shared" si="749"/>
        <v>0</v>
      </c>
      <c r="N1256" s="12">
        <f t="shared" si="750"/>
        <v>0</v>
      </c>
      <c r="O1256" s="12">
        <f aca="true" t="shared" si="751" ref="O1256:O1257">ROUND(4000,2)</f>
        <v>4000</v>
      </c>
      <c r="P1256" s="14">
        <v>100</v>
      </c>
      <c r="Q1256" s="14">
        <v>0</v>
      </c>
    </row>
    <row r="1257" spans="1:17" ht="12.75" customHeight="1">
      <c r="A1257" s="15" t="s">
        <v>806</v>
      </c>
      <c r="B1257" s="15"/>
      <c r="C1257" s="15"/>
      <c r="D1257" s="15"/>
      <c r="E1257" s="16" t="s">
        <v>784</v>
      </c>
      <c r="F1257" s="17">
        <f t="shared" si="719"/>
        <v>0</v>
      </c>
      <c r="G1257" s="17">
        <f>ROUND(0,2)</f>
        <v>0</v>
      </c>
      <c r="H1257" s="17">
        <f t="shared" si="746"/>
        <v>0</v>
      </c>
      <c r="I1257" s="17">
        <f t="shared" si="747"/>
        <v>0</v>
      </c>
      <c r="J1257" s="17"/>
      <c r="K1257" s="17">
        <f t="shared" si="748"/>
        <v>0</v>
      </c>
      <c r="L1257" s="17"/>
      <c r="M1257" s="17">
        <f t="shared" si="749"/>
        <v>0</v>
      </c>
      <c r="N1257" s="17">
        <f t="shared" si="750"/>
        <v>0</v>
      </c>
      <c r="O1257" s="17">
        <f t="shared" si="751"/>
        <v>4000</v>
      </c>
      <c r="P1257" s="18">
        <v>0</v>
      </c>
      <c r="Q1257" s="18">
        <v>0</v>
      </c>
    </row>
    <row r="1258" spans="1:17" ht="12.75" customHeight="1">
      <c r="A1258" s="10"/>
      <c r="B1258" s="11" t="s">
        <v>807</v>
      </c>
      <c r="C1258" s="11"/>
      <c r="D1258" s="11"/>
      <c r="E1258" s="12">
        <f>ROUND(4000,2)</f>
        <v>4000</v>
      </c>
      <c r="F1258" s="12">
        <f t="shared" si="719"/>
        <v>0</v>
      </c>
      <c r="G1258" s="12">
        <f>ROUND(4000,2)</f>
        <v>4000</v>
      </c>
      <c r="H1258" s="12">
        <f>ROUND(4000,2)</f>
        <v>4000</v>
      </c>
      <c r="I1258" s="13">
        <f>ROUND(4000,2)</f>
        <v>4000</v>
      </c>
      <c r="J1258" s="13"/>
      <c r="K1258" s="13">
        <f>ROUND(4000,2)</f>
        <v>4000</v>
      </c>
      <c r="L1258" s="13"/>
      <c r="M1258" s="12">
        <f>ROUND(4000,2)</f>
        <v>4000</v>
      </c>
      <c r="N1258" s="12">
        <f>ROUND(4000,2)</f>
        <v>4000</v>
      </c>
      <c r="O1258" s="12">
        <f aca="true" t="shared" si="752" ref="O1258:O1259">ROUND(0,2)</f>
        <v>0</v>
      </c>
      <c r="P1258" s="14">
        <v>0</v>
      </c>
      <c r="Q1258" s="14">
        <v>100</v>
      </c>
    </row>
    <row r="1259" spans="1:17" ht="12.75" customHeight="1">
      <c r="A1259" s="15" t="s">
        <v>808</v>
      </c>
      <c r="B1259" s="15"/>
      <c r="C1259" s="15"/>
      <c r="D1259" s="15"/>
      <c r="E1259" s="16" t="s">
        <v>784</v>
      </c>
      <c r="F1259" s="17">
        <f t="shared" si="719"/>
        <v>0</v>
      </c>
      <c r="G1259" s="17">
        <f>ROUND(0,2)</f>
        <v>0</v>
      </c>
      <c r="H1259" s="17">
        <f>ROUND(0,2)</f>
        <v>0</v>
      </c>
      <c r="I1259" s="17">
        <f>ROUND(0,2)</f>
        <v>0</v>
      </c>
      <c r="J1259" s="17"/>
      <c r="K1259" s="17">
        <f>ROUND(0,2)</f>
        <v>0</v>
      </c>
      <c r="L1259" s="17"/>
      <c r="M1259" s="17">
        <f>ROUND(0,2)</f>
        <v>0</v>
      </c>
      <c r="N1259" s="17">
        <f>ROUND(0,2)</f>
        <v>0</v>
      </c>
      <c r="O1259" s="17">
        <f t="shared" si="752"/>
        <v>0</v>
      </c>
      <c r="P1259" s="18">
        <v>100</v>
      </c>
      <c r="Q1259" s="18">
        <v>100</v>
      </c>
    </row>
    <row r="1260" spans="1:17" ht="12.75" customHeight="1">
      <c r="A1260" s="10"/>
      <c r="B1260" s="11" t="s">
        <v>809</v>
      </c>
      <c r="C1260" s="11"/>
      <c r="D1260" s="11"/>
      <c r="E1260" s="12">
        <f>ROUND(100000,2)</f>
        <v>100000</v>
      </c>
      <c r="F1260" s="12">
        <f t="shared" si="719"/>
        <v>0</v>
      </c>
      <c r="G1260" s="12">
        <f>ROUND(100000,2)</f>
        <v>100000</v>
      </c>
      <c r="H1260" s="12">
        <f>ROUND(69246.7,2)</f>
        <v>69246.7</v>
      </c>
      <c r="I1260" s="13">
        <f>ROUND(69246.7,2)</f>
        <v>69246.7</v>
      </c>
      <c r="J1260" s="13"/>
      <c r="K1260" s="13">
        <f>ROUND(69246.7,2)</f>
        <v>69246.7</v>
      </c>
      <c r="L1260" s="13"/>
      <c r="M1260" s="12">
        <f>ROUND(69246.7,2)</f>
        <v>69246.7</v>
      </c>
      <c r="N1260" s="12">
        <f>ROUND(43292.99,2)</f>
        <v>43292.99</v>
      </c>
      <c r="O1260" s="12">
        <f>ROUND(22051.19,2)</f>
        <v>22051.19</v>
      </c>
      <c r="P1260" s="14">
        <v>22.05119</v>
      </c>
      <c r="Q1260" s="14">
        <v>69.24669999999999</v>
      </c>
    </row>
    <row r="1261" spans="1:17" ht="12.75" customHeight="1">
      <c r="A1261" s="15" t="s">
        <v>810</v>
      </c>
      <c r="B1261" s="15"/>
      <c r="C1261" s="15"/>
      <c r="D1261" s="15"/>
      <c r="E1261" s="16" t="s">
        <v>784</v>
      </c>
      <c r="F1261" s="17">
        <f t="shared" si="719"/>
        <v>0</v>
      </c>
      <c r="G1261" s="17">
        <f>ROUND(8702.11,2)</f>
        <v>8702.11</v>
      </c>
      <c r="H1261" s="17">
        <f>ROUND(0,2)</f>
        <v>0</v>
      </c>
      <c r="I1261" s="17">
        <f>ROUND(0,2)</f>
        <v>0</v>
      </c>
      <c r="J1261" s="17"/>
      <c r="K1261" s="17">
        <f>ROUND(0,2)</f>
        <v>0</v>
      </c>
      <c r="L1261" s="17"/>
      <c r="M1261" s="17">
        <f>ROUND(25953.71,2)</f>
        <v>25953.71</v>
      </c>
      <c r="N1261" s="17">
        <f>ROUND(0,2)</f>
        <v>0</v>
      </c>
      <c r="O1261" s="17">
        <f>ROUND(30753.3,2)</f>
        <v>30753.3</v>
      </c>
      <c r="P1261" s="18">
        <v>69.24669999999999</v>
      </c>
      <c r="Q1261" s="18">
        <v>62.51993235778745</v>
      </c>
    </row>
    <row r="1262" spans="1:17" ht="12.75" customHeight="1">
      <c r="A1262" s="10"/>
      <c r="B1262" s="11" t="s">
        <v>811</v>
      </c>
      <c r="C1262" s="11"/>
      <c r="D1262" s="11"/>
      <c r="E1262" s="12">
        <f>ROUND(275000,2)</f>
        <v>275000</v>
      </c>
      <c r="F1262" s="12">
        <f t="shared" si="719"/>
        <v>0</v>
      </c>
      <c r="G1262" s="12">
        <f>ROUND(275000,2)</f>
        <v>275000</v>
      </c>
      <c r="H1262" s="12">
        <f>ROUND(217051.52,2)</f>
        <v>217051.52</v>
      </c>
      <c r="I1262" s="13">
        <f>ROUND(217051.52,2)</f>
        <v>217051.52</v>
      </c>
      <c r="J1262" s="13"/>
      <c r="K1262" s="13">
        <f>ROUND(217051.52,2)</f>
        <v>217051.52</v>
      </c>
      <c r="L1262" s="13"/>
      <c r="M1262" s="12">
        <f>ROUND(217051.52,2)</f>
        <v>217051.52</v>
      </c>
      <c r="N1262" s="12">
        <f>ROUND(87203.34,2)</f>
        <v>87203.34</v>
      </c>
      <c r="O1262" s="12">
        <f>ROUND(57948.48,2)</f>
        <v>57948.48</v>
      </c>
      <c r="P1262" s="14">
        <v>21.072174545454548</v>
      </c>
      <c r="Q1262" s="14">
        <v>78.92782545454546</v>
      </c>
    </row>
    <row r="1263" spans="1:17" ht="12.75" customHeight="1">
      <c r="A1263" s="15" t="s">
        <v>812</v>
      </c>
      <c r="B1263" s="15"/>
      <c r="C1263" s="15"/>
      <c r="D1263" s="15"/>
      <c r="E1263" s="16" t="s">
        <v>784</v>
      </c>
      <c r="F1263" s="17">
        <f t="shared" si="719"/>
        <v>0</v>
      </c>
      <c r="G1263" s="17">
        <f>ROUND(0,2)</f>
        <v>0</v>
      </c>
      <c r="H1263" s="17">
        <f>ROUND(0,2)</f>
        <v>0</v>
      </c>
      <c r="I1263" s="17">
        <f>ROUND(0,2)</f>
        <v>0</v>
      </c>
      <c r="J1263" s="17"/>
      <c r="K1263" s="17">
        <f>ROUND(0,2)</f>
        <v>0</v>
      </c>
      <c r="L1263" s="17"/>
      <c r="M1263" s="17">
        <f>ROUND(129848.18,2)</f>
        <v>129848.18</v>
      </c>
      <c r="N1263" s="17">
        <f>ROUND(0,2)</f>
        <v>0</v>
      </c>
      <c r="O1263" s="17">
        <f>ROUND(57948.48,2)</f>
        <v>57948.48</v>
      </c>
      <c r="P1263" s="18">
        <v>78.92782545454546</v>
      </c>
      <c r="Q1263" s="18">
        <v>40.17633232884064</v>
      </c>
    </row>
    <row r="1264" spans="1:17" ht="12.75" customHeight="1">
      <c r="A1264" s="10"/>
      <c r="B1264" s="11" t="s">
        <v>813</v>
      </c>
      <c r="C1264" s="11"/>
      <c r="D1264" s="11"/>
      <c r="E1264" s="12">
        <f>ROUND(3600,2)</f>
        <v>3600</v>
      </c>
      <c r="F1264" s="12">
        <f t="shared" si="719"/>
        <v>0</v>
      </c>
      <c r="G1264" s="12">
        <f>ROUND(3600,2)</f>
        <v>3600</v>
      </c>
      <c r="H1264" s="12">
        <f>ROUND(1913.7,2)</f>
        <v>1913.7</v>
      </c>
      <c r="I1264" s="13">
        <f>ROUND(1913.7,2)</f>
        <v>1913.7</v>
      </c>
      <c r="J1264" s="13"/>
      <c r="K1264" s="13">
        <f>ROUND(1913.7,2)</f>
        <v>1913.7</v>
      </c>
      <c r="L1264" s="13"/>
      <c r="M1264" s="12">
        <f>ROUND(1913.7,2)</f>
        <v>1913.7</v>
      </c>
      <c r="N1264" s="12">
        <f>ROUND(1913.7,2)</f>
        <v>1913.7</v>
      </c>
      <c r="O1264" s="12">
        <f aca="true" t="shared" si="753" ref="O1264:O1265">ROUND(1686.3,2)</f>
        <v>1686.3</v>
      </c>
      <c r="P1264" s="14">
        <v>46.84166666666666</v>
      </c>
      <c r="Q1264" s="14">
        <v>53.15833333333333</v>
      </c>
    </row>
    <row r="1265" spans="1:17" ht="12.75" customHeight="1">
      <c r="A1265" s="15" t="s">
        <v>814</v>
      </c>
      <c r="B1265" s="15"/>
      <c r="C1265" s="15"/>
      <c r="D1265" s="15"/>
      <c r="E1265" s="16" t="s">
        <v>784</v>
      </c>
      <c r="F1265" s="17">
        <f t="shared" si="719"/>
        <v>0</v>
      </c>
      <c r="G1265" s="17">
        <f>ROUND(0,2)</f>
        <v>0</v>
      </c>
      <c r="H1265" s="17">
        <f aca="true" t="shared" si="754" ref="H1265:H1269">ROUND(0,2)</f>
        <v>0</v>
      </c>
      <c r="I1265" s="17">
        <f aca="true" t="shared" si="755" ref="I1265:I1269">ROUND(0,2)</f>
        <v>0</v>
      </c>
      <c r="J1265" s="17"/>
      <c r="K1265" s="17">
        <f aca="true" t="shared" si="756" ref="K1265:K1269">ROUND(0,2)</f>
        <v>0</v>
      </c>
      <c r="L1265" s="17"/>
      <c r="M1265" s="17">
        <f aca="true" t="shared" si="757" ref="M1265:M1269">ROUND(0,2)</f>
        <v>0</v>
      </c>
      <c r="N1265" s="17">
        <f aca="true" t="shared" si="758" ref="N1265:N1269">ROUND(0,2)</f>
        <v>0</v>
      </c>
      <c r="O1265" s="17">
        <f t="shared" si="753"/>
        <v>1686.3</v>
      </c>
      <c r="P1265" s="18">
        <v>53.15833333333333</v>
      </c>
      <c r="Q1265" s="18">
        <v>100</v>
      </c>
    </row>
    <row r="1266" spans="1:17" ht="12.75" customHeight="1">
      <c r="A1266" s="10"/>
      <c r="B1266" s="11" t="s">
        <v>815</v>
      </c>
      <c r="C1266" s="11"/>
      <c r="D1266" s="11"/>
      <c r="E1266" s="12">
        <f>ROUND(9000,2)</f>
        <v>9000</v>
      </c>
      <c r="F1266" s="12">
        <f t="shared" si="719"/>
        <v>0</v>
      </c>
      <c r="G1266" s="12">
        <f>ROUND(9000,2)</f>
        <v>9000</v>
      </c>
      <c r="H1266" s="12">
        <f t="shared" si="754"/>
        <v>0</v>
      </c>
      <c r="I1266" s="13">
        <f t="shared" si="755"/>
        <v>0</v>
      </c>
      <c r="J1266" s="13"/>
      <c r="K1266" s="13">
        <f t="shared" si="756"/>
        <v>0</v>
      </c>
      <c r="L1266" s="13"/>
      <c r="M1266" s="12">
        <f t="shared" si="757"/>
        <v>0</v>
      </c>
      <c r="N1266" s="12">
        <f t="shared" si="758"/>
        <v>0</v>
      </c>
      <c r="O1266" s="12">
        <f aca="true" t="shared" si="759" ref="O1266:O1269">ROUND(9000,2)</f>
        <v>9000</v>
      </c>
      <c r="P1266" s="14">
        <v>100</v>
      </c>
      <c r="Q1266" s="14">
        <v>0</v>
      </c>
    </row>
    <row r="1267" spans="1:17" ht="12.75" customHeight="1">
      <c r="A1267" s="15" t="s">
        <v>816</v>
      </c>
      <c r="B1267" s="15"/>
      <c r="C1267" s="15"/>
      <c r="D1267" s="15"/>
      <c r="E1267" s="16" t="s">
        <v>784</v>
      </c>
      <c r="F1267" s="17">
        <f t="shared" si="719"/>
        <v>0</v>
      </c>
      <c r="G1267" s="17">
        <f>ROUND(0,2)</f>
        <v>0</v>
      </c>
      <c r="H1267" s="17">
        <f t="shared" si="754"/>
        <v>0</v>
      </c>
      <c r="I1267" s="17">
        <f t="shared" si="755"/>
        <v>0</v>
      </c>
      <c r="J1267" s="17"/>
      <c r="K1267" s="17">
        <f t="shared" si="756"/>
        <v>0</v>
      </c>
      <c r="L1267" s="17"/>
      <c r="M1267" s="17">
        <f t="shared" si="757"/>
        <v>0</v>
      </c>
      <c r="N1267" s="17">
        <f t="shared" si="758"/>
        <v>0</v>
      </c>
      <c r="O1267" s="17">
        <f t="shared" si="759"/>
        <v>9000</v>
      </c>
      <c r="P1267" s="18">
        <v>0</v>
      </c>
      <c r="Q1267" s="18">
        <v>0</v>
      </c>
    </row>
    <row r="1268" spans="1:17" ht="12.75" customHeight="1">
      <c r="A1268" s="10"/>
      <c r="B1268" s="11" t="s">
        <v>817</v>
      </c>
      <c r="C1268" s="11"/>
      <c r="D1268" s="11"/>
      <c r="E1268" s="12">
        <f>ROUND(9000,2)</f>
        <v>9000</v>
      </c>
      <c r="F1268" s="12">
        <f t="shared" si="719"/>
        <v>0</v>
      </c>
      <c r="G1268" s="12">
        <f>ROUND(9000,2)</f>
        <v>9000</v>
      </c>
      <c r="H1268" s="12">
        <f t="shared" si="754"/>
        <v>0</v>
      </c>
      <c r="I1268" s="13">
        <f t="shared" si="755"/>
        <v>0</v>
      </c>
      <c r="J1268" s="13"/>
      <c r="K1268" s="13">
        <f t="shared" si="756"/>
        <v>0</v>
      </c>
      <c r="L1268" s="13"/>
      <c r="M1268" s="12">
        <f t="shared" si="757"/>
        <v>0</v>
      </c>
      <c r="N1268" s="12">
        <f t="shared" si="758"/>
        <v>0</v>
      </c>
      <c r="O1268" s="12">
        <f t="shared" si="759"/>
        <v>9000</v>
      </c>
      <c r="P1268" s="14">
        <v>100</v>
      </c>
      <c r="Q1268" s="14">
        <v>0</v>
      </c>
    </row>
    <row r="1269" spans="1:17" ht="12.75" customHeight="1">
      <c r="A1269" s="15" t="s">
        <v>818</v>
      </c>
      <c r="B1269" s="15"/>
      <c r="C1269" s="15"/>
      <c r="D1269" s="15"/>
      <c r="E1269" s="16" t="s">
        <v>784</v>
      </c>
      <c r="F1269" s="17">
        <f t="shared" si="719"/>
        <v>0</v>
      </c>
      <c r="G1269" s="17">
        <f>ROUND(0,2)</f>
        <v>0</v>
      </c>
      <c r="H1269" s="17">
        <f t="shared" si="754"/>
        <v>0</v>
      </c>
      <c r="I1269" s="17">
        <f t="shared" si="755"/>
        <v>0</v>
      </c>
      <c r="J1269" s="17"/>
      <c r="K1269" s="17">
        <f t="shared" si="756"/>
        <v>0</v>
      </c>
      <c r="L1269" s="17"/>
      <c r="M1269" s="17">
        <f t="shared" si="757"/>
        <v>0</v>
      </c>
      <c r="N1269" s="17">
        <f t="shared" si="758"/>
        <v>0</v>
      </c>
      <c r="O1269" s="17">
        <f t="shared" si="759"/>
        <v>9000</v>
      </c>
      <c r="P1269" s="18">
        <v>0</v>
      </c>
      <c r="Q1269" s="18">
        <v>0</v>
      </c>
    </row>
    <row r="1270" spans="1:17" ht="12.75" customHeight="1">
      <c r="A1270" s="10"/>
      <c r="B1270" s="11" t="s">
        <v>819</v>
      </c>
      <c r="C1270" s="11"/>
      <c r="D1270" s="11"/>
      <c r="E1270" s="12">
        <f>ROUND(10800,2)</f>
        <v>10800</v>
      </c>
      <c r="F1270" s="12">
        <f t="shared" si="719"/>
        <v>0</v>
      </c>
      <c r="G1270" s="12">
        <f>ROUND(10800,2)</f>
        <v>10800</v>
      </c>
      <c r="H1270" s="12">
        <f>ROUND(1866.12,2)</f>
        <v>1866.12</v>
      </c>
      <c r="I1270" s="13">
        <f>ROUND(1866.12,2)</f>
        <v>1866.12</v>
      </c>
      <c r="J1270" s="13"/>
      <c r="K1270" s="13">
        <f>ROUND(1866.12,2)</f>
        <v>1866.12</v>
      </c>
      <c r="L1270" s="13"/>
      <c r="M1270" s="12">
        <f>ROUND(1866.12,2)</f>
        <v>1866.12</v>
      </c>
      <c r="N1270" s="12">
        <f>ROUND(1866.12,2)</f>
        <v>1866.12</v>
      </c>
      <c r="O1270" s="12">
        <f>ROUND(8933.88,2)</f>
        <v>8933.88</v>
      </c>
      <c r="P1270" s="14">
        <v>82.7211111111111</v>
      </c>
      <c r="Q1270" s="14">
        <v>17.278888888888886</v>
      </c>
    </row>
    <row r="1271" spans="1:17" ht="12.75" customHeight="1">
      <c r="A1271" s="15" t="s">
        <v>820</v>
      </c>
      <c r="B1271" s="15"/>
      <c r="C1271" s="15"/>
      <c r="D1271" s="15"/>
      <c r="E1271" s="16" t="s">
        <v>784</v>
      </c>
      <c r="F1271" s="17">
        <f t="shared" si="719"/>
        <v>0</v>
      </c>
      <c r="G1271" s="17">
        <f>ROUND(0,2)</f>
        <v>0</v>
      </c>
      <c r="H1271" s="17">
        <f>ROUND(0,2)</f>
        <v>0</v>
      </c>
      <c r="I1271" s="17">
        <f>ROUND(0,2)</f>
        <v>0</v>
      </c>
      <c r="J1271" s="17"/>
      <c r="K1271" s="17">
        <f>ROUND(0,2)</f>
        <v>0</v>
      </c>
      <c r="L1271" s="17"/>
      <c r="M1271" s="17">
        <f>ROUND(0,2)</f>
        <v>0</v>
      </c>
      <c r="N1271" s="17">
        <f>ROUND(0,2)</f>
        <v>0</v>
      </c>
      <c r="O1271" s="17">
        <f>ROUND(8933.88,2)</f>
        <v>8933.88</v>
      </c>
      <c r="P1271" s="18">
        <v>17.278888888888886</v>
      </c>
      <c r="Q1271" s="18">
        <v>100</v>
      </c>
    </row>
    <row r="1272" spans="1:17" ht="12.75" customHeight="1">
      <c r="A1272" s="10" t="s">
        <v>83</v>
      </c>
      <c r="B1272" s="11" t="s">
        <v>821</v>
      </c>
      <c r="C1272" s="11"/>
      <c r="D1272" s="11"/>
      <c r="E1272" s="12">
        <f>ROUND(0,2)</f>
        <v>0</v>
      </c>
      <c r="F1272" s="12">
        <f aca="true" t="shared" si="760" ref="F1272:F1273">ROUND(60957.16,2)</f>
        <v>60957.16</v>
      </c>
      <c r="G1272" s="12">
        <f>ROUND(60957.16,2)</f>
        <v>60957.16</v>
      </c>
      <c r="H1272" s="12">
        <f>ROUND(60686.66,2)</f>
        <v>60686.66</v>
      </c>
      <c r="I1272" s="13">
        <f>ROUND(60686.66,2)</f>
        <v>60686.66</v>
      </c>
      <c r="J1272" s="13"/>
      <c r="K1272" s="13">
        <f>ROUND(60686.66,2)</f>
        <v>60686.66</v>
      </c>
      <c r="L1272" s="13"/>
      <c r="M1272" s="12">
        <f>ROUND(60686.66,2)</f>
        <v>60686.66</v>
      </c>
      <c r="N1272" s="12">
        <f>ROUND(60686.66,2)</f>
        <v>60686.66</v>
      </c>
      <c r="O1272" s="12">
        <f aca="true" t="shared" si="761" ref="O1272:O1273">ROUND(270.5,2)</f>
        <v>270.5</v>
      </c>
      <c r="P1272" s="14">
        <v>0.4437542693918155</v>
      </c>
      <c r="Q1272" s="14">
        <v>99.55624573060818</v>
      </c>
    </row>
    <row r="1273" spans="1:17" ht="12.75" customHeight="1">
      <c r="A1273" s="15" t="s">
        <v>822</v>
      </c>
      <c r="B1273" s="15"/>
      <c r="C1273" s="15"/>
      <c r="D1273" s="15"/>
      <c r="E1273" s="16" t="s">
        <v>823</v>
      </c>
      <c r="F1273" s="17">
        <f t="shared" si="760"/>
        <v>60957.16</v>
      </c>
      <c r="G1273" s="17">
        <f>ROUND(0,2)</f>
        <v>0</v>
      </c>
      <c r="H1273" s="17">
        <f>ROUND(0,2)</f>
        <v>0</v>
      </c>
      <c r="I1273" s="17">
        <f>ROUND(0,2)</f>
        <v>0</v>
      </c>
      <c r="J1273" s="17"/>
      <c r="K1273" s="17">
        <f>ROUND(0,2)</f>
        <v>0</v>
      </c>
      <c r="L1273" s="17"/>
      <c r="M1273" s="17">
        <f>ROUND(0,2)</f>
        <v>0</v>
      </c>
      <c r="N1273" s="17">
        <f aca="true" t="shared" si="762" ref="N1273:N1277">ROUND(0,2)</f>
        <v>0</v>
      </c>
      <c r="O1273" s="17">
        <f t="shared" si="761"/>
        <v>270.5</v>
      </c>
      <c r="P1273" s="18">
        <v>99.55624573060818</v>
      </c>
      <c r="Q1273" s="18">
        <v>100</v>
      </c>
    </row>
    <row r="1274" spans="1:17" ht="12.75" customHeight="1">
      <c r="A1274" s="10"/>
      <c r="B1274" s="11" t="s">
        <v>824</v>
      </c>
      <c r="C1274" s="11"/>
      <c r="D1274" s="11"/>
      <c r="E1274" s="12">
        <f>ROUND(9000,2)</f>
        <v>9000</v>
      </c>
      <c r="F1274" s="12">
        <f aca="true" t="shared" si="763" ref="F1274:F1277">ROUND(0,2)</f>
        <v>0</v>
      </c>
      <c r="G1274" s="12">
        <f>ROUND(9000,2)</f>
        <v>9000</v>
      </c>
      <c r="H1274" s="12">
        <f>ROUND(8271.54,2)</f>
        <v>8271.54</v>
      </c>
      <c r="I1274" s="13">
        <f>ROUND(8271.54,2)</f>
        <v>8271.54</v>
      </c>
      <c r="J1274" s="13"/>
      <c r="K1274" s="13">
        <f>ROUND(8271.54,2)</f>
        <v>8271.54</v>
      </c>
      <c r="L1274" s="13"/>
      <c r="M1274" s="12">
        <f aca="true" t="shared" si="764" ref="M1274:M1275">ROUND(8271.54,2)</f>
        <v>8271.54</v>
      </c>
      <c r="N1274" s="12">
        <f t="shared" si="762"/>
        <v>0</v>
      </c>
      <c r="O1274" s="12">
        <f>ROUND(728.46,2)</f>
        <v>728.46</v>
      </c>
      <c r="P1274" s="14">
        <v>8.094</v>
      </c>
      <c r="Q1274" s="14">
        <v>91.906</v>
      </c>
    </row>
    <row r="1275" spans="1:17" ht="12.75" customHeight="1">
      <c r="A1275" s="15" t="s">
        <v>825</v>
      </c>
      <c r="B1275" s="15"/>
      <c r="C1275" s="15"/>
      <c r="D1275" s="15"/>
      <c r="E1275" s="16" t="s">
        <v>784</v>
      </c>
      <c r="F1275" s="17">
        <f t="shared" si="763"/>
        <v>0</v>
      </c>
      <c r="G1275" s="17">
        <f>ROUND(0,2)</f>
        <v>0</v>
      </c>
      <c r="H1275" s="17">
        <f>ROUND(0,2)</f>
        <v>0</v>
      </c>
      <c r="I1275" s="17">
        <f>ROUND(0,2)</f>
        <v>0</v>
      </c>
      <c r="J1275" s="17"/>
      <c r="K1275" s="17">
        <f aca="true" t="shared" si="765" ref="K1275:K1277">ROUND(0,2)</f>
        <v>0</v>
      </c>
      <c r="L1275" s="17"/>
      <c r="M1275" s="17">
        <f t="shared" si="764"/>
        <v>8271.54</v>
      </c>
      <c r="N1275" s="17">
        <f t="shared" si="762"/>
        <v>0</v>
      </c>
      <c r="O1275" s="17">
        <f>ROUND(728.459999999999,2)</f>
        <v>728.46</v>
      </c>
      <c r="P1275" s="18">
        <v>91.906</v>
      </c>
      <c r="Q1275" s="18">
        <v>0</v>
      </c>
    </row>
    <row r="1276" spans="1:17" ht="12.75" customHeight="1">
      <c r="A1276" s="10"/>
      <c r="B1276" s="11" t="s">
        <v>826</v>
      </c>
      <c r="C1276" s="11"/>
      <c r="D1276" s="11"/>
      <c r="E1276" s="12">
        <f>ROUND(40000,2)</f>
        <v>40000</v>
      </c>
      <c r="F1276" s="12">
        <f t="shared" si="763"/>
        <v>0</v>
      </c>
      <c r="G1276" s="12">
        <f>ROUND(40000,2)</f>
        <v>40000</v>
      </c>
      <c r="H1276" s="12">
        <f>ROUND(40000,2)</f>
        <v>40000</v>
      </c>
      <c r="I1276" s="13">
        <f aca="true" t="shared" si="766" ref="I1276:I1277">ROUND(40000,2)</f>
        <v>40000</v>
      </c>
      <c r="J1276" s="13"/>
      <c r="K1276" s="13">
        <f t="shared" si="765"/>
        <v>0</v>
      </c>
      <c r="L1276" s="13"/>
      <c r="M1276" s="12">
        <f aca="true" t="shared" si="767" ref="M1276:M1277">ROUND(0,2)</f>
        <v>0</v>
      </c>
      <c r="N1276" s="12">
        <f t="shared" si="762"/>
        <v>0</v>
      </c>
      <c r="O1276" s="12">
        <f>ROUND(0,2)</f>
        <v>0</v>
      </c>
      <c r="P1276" s="14">
        <v>0</v>
      </c>
      <c r="Q1276" s="14">
        <v>0</v>
      </c>
    </row>
    <row r="1277" spans="1:17" ht="12.75" customHeight="1">
      <c r="A1277" s="15" t="s">
        <v>827</v>
      </c>
      <c r="B1277" s="15"/>
      <c r="C1277" s="15"/>
      <c r="D1277" s="15"/>
      <c r="E1277" s="16" t="s">
        <v>784</v>
      </c>
      <c r="F1277" s="17">
        <f t="shared" si="763"/>
        <v>0</v>
      </c>
      <c r="G1277" s="17">
        <f>ROUND(0,2)</f>
        <v>0</v>
      </c>
      <c r="H1277" s="17">
        <f>ROUND(0,2)</f>
        <v>0</v>
      </c>
      <c r="I1277" s="17">
        <f t="shared" si="766"/>
        <v>40000</v>
      </c>
      <c r="J1277" s="17"/>
      <c r="K1277" s="17">
        <f t="shared" si="765"/>
        <v>0</v>
      </c>
      <c r="L1277" s="17"/>
      <c r="M1277" s="17">
        <f t="shared" si="767"/>
        <v>0</v>
      </c>
      <c r="N1277" s="17">
        <f t="shared" si="762"/>
        <v>0</v>
      </c>
      <c r="O1277" s="17">
        <f>ROUND(40000,2)</f>
        <v>40000</v>
      </c>
      <c r="P1277" s="18">
        <v>100</v>
      </c>
      <c r="Q1277" s="18">
        <v>0</v>
      </c>
    </row>
    <row r="1278" spans="1:17" ht="12.75" customHeight="1">
      <c r="A1278" s="19" t="s">
        <v>461</v>
      </c>
      <c r="B1278" s="19"/>
      <c r="C1278" s="19"/>
      <c r="D1278" s="19"/>
      <c r="E1278" s="20">
        <f>SUM('DS1'!$A$313:$A$334)</f>
        <v>675000</v>
      </c>
      <c r="F1278" s="20">
        <v>60957.16</v>
      </c>
      <c r="G1278" s="20">
        <v>735957.16</v>
      </c>
      <c r="H1278" s="20">
        <v>554027.93</v>
      </c>
      <c r="I1278" s="21">
        <v>554027.93</v>
      </c>
      <c r="J1278" s="21"/>
      <c r="K1278" s="21">
        <v>455527.93</v>
      </c>
      <c r="L1278" s="21"/>
      <c r="M1278" s="20">
        <v>455527.93</v>
      </c>
      <c r="N1278" s="20">
        <v>264841.5</v>
      </c>
      <c r="O1278" s="20">
        <v>173227.12</v>
      </c>
      <c r="P1278" s="22">
        <v>23.537663523784452</v>
      </c>
      <c r="Q1278" s="22">
        <v>61.895984543448144</v>
      </c>
    </row>
    <row r="1279" spans="1:17" ht="12.75" customHeight="1">
      <c r="A1279" s="23"/>
      <c r="B1279" s="24"/>
      <c r="C1279" s="24"/>
      <c r="D1279" s="24"/>
      <c r="E1279" s="23"/>
      <c r="F1279" s="20">
        <v>60957.16</v>
      </c>
      <c r="G1279" s="20">
        <v>8702.11</v>
      </c>
      <c r="H1279" s="20">
        <v>0</v>
      </c>
      <c r="I1279" s="21">
        <v>98500</v>
      </c>
      <c r="J1279" s="21"/>
      <c r="K1279" s="21">
        <v>0</v>
      </c>
      <c r="L1279" s="21"/>
      <c r="M1279" s="20">
        <v>190686.43</v>
      </c>
      <c r="N1279" s="20">
        <v>0</v>
      </c>
      <c r="O1279" s="20">
        <v>280429.23</v>
      </c>
      <c r="P1279" s="22">
        <v>75.27991574944389</v>
      </c>
      <c r="Q1279" s="22">
        <v>58.139464686610985</v>
      </c>
    </row>
    <row r="1280" spans="1:17" ht="20.25" customHeight="1">
      <c r="A1280" s="23"/>
      <c r="B1280" s="24"/>
      <c r="C1280" s="24"/>
      <c r="D1280" s="24"/>
      <c r="E1280" s="23"/>
      <c r="F1280" s="23"/>
      <c r="G1280" s="23"/>
      <c r="H1280" s="23"/>
      <c r="I1280" s="24"/>
      <c r="J1280" s="24"/>
      <c r="K1280" s="24"/>
      <c r="L1280" s="24"/>
      <c r="M1280" s="23"/>
      <c r="N1280" s="23"/>
      <c r="O1280" s="23"/>
      <c r="P1280" s="23"/>
      <c r="Q1280" s="23"/>
    </row>
    <row r="1281" spans="1:17" ht="12.75" customHeight="1">
      <c r="A1281" s="10"/>
      <c r="B1281" s="11" t="s">
        <v>828</v>
      </c>
      <c r="C1281" s="11"/>
      <c r="D1281" s="11"/>
      <c r="E1281" s="12">
        <f>ROUND(70183.37,2)</f>
        <v>70183.37</v>
      </c>
      <c r="F1281" s="12">
        <f aca="true" t="shared" si="768" ref="F1281:F1282">ROUND(0,2)</f>
        <v>0</v>
      </c>
      <c r="G1281" s="12">
        <f aca="true" t="shared" si="769" ref="G1281:G1282">ROUND(70183.37,2)</f>
        <v>70183.37</v>
      </c>
      <c r="H1281" s="12">
        <f aca="true" t="shared" si="770" ref="H1281:H1282">ROUND(0,2)</f>
        <v>0</v>
      </c>
      <c r="I1281" s="13">
        <f aca="true" t="shared" si="771" ref="I1281:I1282">ROUND(0,2)</f>
        <v>0</v>
      </c>
      <c r="J1281" s="13"/>
      <c r="K1281" s="13">
        <f aca="true" t="shared" si="772" ref="K1281:K1282">ROUND(0,2)</f>
        <v>0</v>
      </c>
      <c r="L1281" s="13"/>
      <c r="M1281" s="12">
        <f aca="true" t="shared" si="773" ref="M1281:M1282">ROUND(0,2)</f>
        <v>0</v>
      </c>
      <c r="N1281" s="12">
        <f aca="true" t="shared" si="774" ref="N1281:N1282">ROUND(0,2)</f>
        <v>0</v>
      </c>
      <c r="O1281" s="12">
        <f>ROUND(0,2)</f>
        <v>0</v>
      </c>
      <c r="P1281" s="14">
        <v>0</v>
      </c>
      <c r="Q1281" s="14">
        <v>0</v>
      </c>
    </row>
    <row r="1282" spans="1:17" ht="12.75" customHeight="1">
      <c r="A1282" s="15" t="s">
        <v>829</v>
      </c>
      <c r="B1282" s="15"/>
      <c r="C1282" s="15"/>
      <c r="D1282" s="15"/>
      <c r="E1282" s="16" t="s">
        <v>828</v>
      </c>
      <c r="F1282" s="17">
        <f t="shared" si="768"/>
        <v>0</v>
      </c>
      <c r="G1282" s="17">
        <f t="shared" si="769"/>
        <v>70183.37</v>
      </c>
      <c r="H1282" s="17">
        <f t="shared" si="770"/>
        <v>0</v>
      </c>
      <c r="I1282" s="17">
        <f t="shared" si="771"/>
        <v>0</v>
      </c>
      <c r="J1282" s="17"/>
      <c r="K1282" s="17">
        <f t="shared" si="772"/>
        <v>0</v>
      </c>
      <c r="L1282" s="17"/>
      <c r="M1282" s="17">
        <f t="shared" si="773"/>
        <v>0</v>
      </c>
      <c r="N1282" s="17">
        <f t="shared" si="774"/>
        <v>0</v>
      </c>
      <c r="O1282" s="17">
        <f>ROUND(70183.37,2)</f>
        <v>70183.37</v>
      </c>
      <c r="P1282" s="18">
        <v>0</v>
      </c>
      <c r="Q1282" s="18">
        <v>0</v>
      </c>
    </row>
    <row r="1283" spans="1:17" ht="12.75" customHeight="1">
      <c r="A1283" s="19" t="s">
        <v>286</v>
      </c>
      <c r="B1283" s="19"/>
      <c r="C1283" s="19"/>
      <c r="D1283" s="19"/>
      <c r="E1283" s="20">
        <f>SUM('DS1'!$A$335)</f>
        <v>70183.37</v>
      </c>
      <c r="F1283" s="20">
        <v>0</v>
      </c>
      <c r="G1283" s="20">
        <v>70183.37</v>
      </c>
      <c r="H1283" s="20">
        <v>0</v>
      </c>
      <c r="I1283" s="21">
        <v>0</v>
      </c>
      <c r="J1283" s="21"/>
      <c r="K1283" s="21">
        <v>0</v>
      </c>
      <c r="L1283" s="21"/>
      <c r="M1283" s="20">
        <v>0</v>
      </c>
      <c r="N1283" s="20">
        <v>0</v>
      </c>
      <c r="O1283" s="20">
        <v>0</v>
      </c>
      <c r="P1283" s="22">
        <v>0</v>
      </c>
      <c r="Q1283" s="22">
        <v>0</v>
      </c>
    </row>
    <row r="1284" spans="1:17" ht="12.75" customHeight="1">
      <c r="A1284" s="23"/>
      <c r="B1284" s="24"/>
      <c r="C1284" s="24"/>
      <c r="D1284" s="24"/>
      <c r="E1284" s="23"/>
      <c r="F1284" s="20">
        <v>0</v>
      </c>
      <c r="G1284" s="20">
        <v>70183.37</v>
      </c>
      <c r="H1284" s="20">
        <v>0</v>
      </c>
      <c r="I1284" s="21">
        <v>0</v>
      </c>
      <c r="J1284" s="21"/>
      <c r="K1284" s="21">
        <v>0</v>
      </c>
      <c r="L1284" s="21"/>
      <c r="M1284" s="20">
        <v>0</v>
      </c>
      <c r="N1284" s="20">
        <v>0</v>
      </c>
      <c r="O1284" s="20">
        <v>70183.37</v>
      </c>
      <c r="P1284" s="22">
        <v>0</v>
      </c>
      <c r="Q1284" s="22">
        <v>0</v>
      </c>
    </row>
    <row r="1285" spans="1:17" ht="20.25" customHeight="1">
      <c r="A1285" s="23"/>
      <c r="B1285" s="24"/>
      <c r="C1285" s="24"/>
      <c r="D1285" s="24"/>
      <c r="E1285" s="23"/>
      <c r="F1285" s="23"/>
      <c r="G1285" s="23"/>
      <c r="H1285" s="23"/>
      <c r="I1285" s="24"/>
      <c r="J1285" s="24"/>
      <c r="K1285" s="24"/>
      <c r="L1285" s="24"/>
      <c r="M1285" s="23"/>
      <c r="N1285" s="23"/>
      <c r="O1285" s="23"/>
      <c r="P1285" s="23"/>
      <c r="Q1285" s="23"/>
    </row>
    <row r="1286" spans="1:17" ht="12.75" customHeight="1">
      <c r="A1286" s="19" t="s">
        <v>830</v>
      </c>
      <c r="B1286" s="19"/>
      <c r="C1286" s="19"/>
      <c r="D1286" s="19"/>
      <c r="E1286" s="20">
        <f>SUM('DS1'!$A$305:$A$335)</f>
        <v>1021683.37</v>
      </c>
      <c r="F1286" s="20">
        <v>61352.240000000005</v>
      </c>
      <c r="G1286" s="20">
        <v>1083035.61</v>
      </c>
      <c r="H1286" s="20">
        <v>682704.8</v>
      </c>
      <c r="I1286" s="21">
        <v>682704.8</v>
      </c>
      <c r="J1286" s="21"/>
      <c r="K1286" s="21">
        <v>550789.65</v>
      </c>
      <c r="L1286" s="21"/>
      <c r="M1286" s="20">
        <v>550789.65</v>
      </c>
      <c r="N1286" s="20">
        <v>336369.26</v>
      </c>
      <c r="O1286" s="20">
        <v>302411.1</v>
      </c>
      <c r="P1286" s="22">
        <v>27.92254448586413</v>
      </c>
      <c r="Q1286" s="22">
        <v>50.85609788952369</v>
      </c>
    </row>
    <row r="1287" spans="1:17" ht="12.75" customHeight="1">
      <c r="A1287" s="23"/>
      <c r="B1287" s="24"/>
      <c r="C1287" s="24"/>
      <c r="D1287" s="24"/>
      <c r="E1287" s="23"/>
      <c r="F1287" s="20">
        <v>66178.21</v>
      </c>
      <c r="G1287" s="20">
        <v>97919.71</v>
      </c>
      <c r="H1287" s="20">
        <v>0</v>
      </c>
      <c r="I1287" s="21">
        <v>131915.15</v>
      </c>
      <c r="J1287" s="21"/>
      <c r="K1287" s="21">
        <v>0</v>
      </c>
      <c r="L1287" s="21"/>
      <c r="M1287" s="20">
        <v>214420.39</v>
      </c>
      <c r="N1287" s="20">
        <v>0</v>
      </c>
      <c r="O1287" s="20">
        <v>532245.96</v>
      </c>
      <c r="P1287" s="22">
        <v>63.0362283286327</v>
      </c>
      <c r="Q1287" s="22">
        <v>61.07036688144013</v>
      </c>
    </row>
    <row r="1288" spans="1:17" ht="18" customHeight="1">
      <c r="A1288" s="23"/>
      <c r="B1288" s="24"/>
      <c r="C1288" s="24"/>
      <c r="D1288" s="24"/>
      <c r="E1288" s="23"/>
      <c r="F1288" s="23"/>
      <c r="G1288" s="23"/>
      <c r="H1288" s="23"/>
      <c r="I1288" s="24"/>
      <c r="J1288" s="24"/>
      <c r="K1288" s="24"/>
      <c r="L1288" s="24"/>
      <c r="M1288" s="23"/>
      <c r="N1288" s="23"/>
      <c r="O1288" s="23"/>
      <c r="P1288" s="23"/>
      <c r="Q1288" s="23"/>
    </row>
    <row r="1289" spans="1:17" ht="12.75" customHeight="1">
      <c r="A1289" s="10"/>
      <c r="B1289" s="11" t="s">
        <v>831</v>
      </c>
      <c r="C1289" s="11"/>
      <c r="D1289" s="11"/>
      <c r="E1289" s="12">
        <f>ROUND(81000,2)</f>
        <v>81000</v>
      </c>
      <c r="F1289" s="12">
        <f aca="true" t="shared" si="775" ref="F1289:F1290">ROUND(0,2)</f>
        <v>0</v>
      </c>
      <c r="G1289" s="12">
        <f>ROUND(81000,2)</f>
        <v>81000</v>
      </c>
      <c r="H1289" s="12">
        <f>ROUND(43327.72,2)</f>
        <v>43327.72</v>
      </c>
      <c r="I1289" s="13">
        <f>ROUND(43327.72,2)</f>
        <v>43327.72</v>
      </c>
      <c r="J1289" s="13"/>
      <c r="K1289" s="13">
        <f>ROUND(43327.72,2)</f>
        <v>43327.72</v>
      </c>
      <c r="L1289" s="13"/>
      <c r="M1289" s="12">
        <f>ROUND(43327.72,2)</f>
        <v>43327.72</v>
      </c>
      <c r="N1289" s="12">
        <f>ROUND(41817.25,2)</f>
        <v>41817.25</v>
      </c>
      <c r="O1289" s="12">
        <f aca="true" t="shared" si="776" ref="O1289:O1290">ROUND(37672.28,2)</f>
        <v>37672.28</v>
      </c>
      <c r="P1289" s="14">
        <v>46.50898765432099</v>
      </c>
      <c r="Q1289" s="14">
        <v>53.49101234567901</v>
      </c>
    </row>
    <row r="1290" spans="1:17" ht="12.75" customHeight="1">
      <c r="A1290" s="15" t="s">
        <v>832</v>
      </c>
      <c r="B1290" s="15"/>
      <c r="C1290" s="15"/>
      <c r="D1290" s="15"/>
      <c r="E1290" s="16" t="s">
        <v>833</v>
      </c>
      <c r="F1290" s="17">
        <f t="shared" si="775"/>
        <v>0</v>
      </c>
      <c r="G1290" s="17">
        <f>ROUND(0,2)</f>
        <v>0</v>
      </c>
      <c r="H1290" s="17">
        <f>ROUND(0,2)</f>
        <v>0</v>
      </c>
      <c r="I1290" s="17">
        <f>ROUND(0,2)</f>
        <v>0</v>
      </c>
      <c r="J1290" s="17"/>
      <c r="K1290" s="17">
        <f>ROUND(0,2)</f>
        <v>0</v>
      </c>
      <c r="L1290" s="17"/>
      <c r="M1290" s="17">
        <f>ROUND(1510.47,2)</f>
        <v>1510.47</v>
      </c>
      <c r="N1290" s="17">
        <f>ROUND(0,2)</f>
        <v>0</v>
      </c>
      <c r="O1290" s="17">
        <f t="shared" si="776"/>
        <v>37672.28</v>
      </c>
      <c r="P1290" s="18">
        <v>53.49101234567901</v>
      </c>
      <c r="Q1290" s="18">
        <v>96.51384840928625</v>
      </c>
    </row>
    <row r="1291" spans="1:17" ht="12.75" customHeight="1">
      <c r="A1291" s="19" t="s">
        <v>76</v>
      </c>
      <c r="B1291" s="19"/>
      <c r="C1291" s="19"/>
      <c r="D1291" s="19"/>
      <c r="E1291" s="20">
        <f>SUM('DS1'!$A$336)</f>
        <v>81000</v>
      </c>
      <c r="F1291" s="20">
        <v>0</v>
      </c>
      <c r="G1291" s="20">
        <v>81000</v>
      </c>
      <c r="H1291" s="20">
        <v>43327.72</v>
      </c>
      <c r="I1291" s="21">
        <v>43327.72</v>
      </c>
      <c r="J1291" s="21"/>
      <c r="K1291" s="21">
        <v>43327.72</v>
      </c>
      <c r="L1291" s="21"/>
      <c r="M1291" s="20">
        <v>43327.72</v>
      </c>
      <c r="N1291" s="20">
        <v>41817.25</v>
      </c>
      <c r="O1291" s="20">
        <v>37672.28</v>
      </c>
      <c r="P1291" s="22">
        <v>46.50898765432099</v>
      </c>
      <c r="Q1291" s="22">
        <v>53.49101234567901</v>
      </c>
    </row>
    <row r="1292" spans="1:17" ht="12.75" customHeight="1">
      <c r="A1292" s="23"/>
      <c r="B1292" s="24"/>
      <c r="C1292" s="24"/>
      <c r="D1292" s="24"/>
      <c r="E1292" s="23"/>
      <c r="F1292" s="20">
        <v>0</v>
      </c>
      <c r="G1292" s="20">
        <v>0</v>
      </c>
      <c r="H1292" s="20">
        <v>0</v>
      </c>
      <c r="I1292" s="21">
        <v>0</v>
      </c>
      <c r="J1292" s="21"/>
      <c r="K1292" s="21">
        <v>0</v>
      </c>
      <c r="L1292" s="21"/>
      <c r="M1292" s="20">
        <v>1510.4700000000012</v>
      </c>
      <c r="N1292" s="20">
        <v>0</v>
      </c>
      <c r="O1292" s="20">
        <v>37672.28</v>
      </c>
      <c r="P1292" s="22">
        <v>53.49101234567901</v>
      </c>
      <c r="Q1292" s="22">
        <v>96.51384840928625</v>
      </c>
    </row>
    <row r="1293" spans="1:17" ht="20.25" customHeight="1">
      <c r="A1293" s="23"/>
      <c r="B1293" s="24"/>
      <c r="C1293" s="24"/>
      <c r="D1293" s="24"/>
      <c r="E1293" s="23"/>
      <c r="F1293" s="23"/>
      <c r="G1293" s="23"/>
      <c r="H1293" s="23"/>
      <c r="I1293" s="24"/>
      <c r="J1293" s="24"/>
      <c r="K1293" s="24"/>
      <c r="L1293" s="24"/>
      <c r="M1293" s="23"/>
      <c r="N1293" s="23"/>
      <c r="O1293" s="23"/>
      <c r="P1293" s="23"/>
      <c r="Q1293" s="23"/>
    </row>
    <row r="1294" spans="1:17" ht="12.75" customHeight="1">
      <c r="A1294" s="10"/>
      <c r="B1294" s="11" t="s">
        <v>834</v>
      </c>
      <c r="C1294" s="11"/>
      <c r="D1294" s="11"/>
      <c r="E1294" s="12">
        <f>ROUND(2700,2)</f>
        <v>2700</v>
      </c>
      <c r="F1294" s="12">
        <f aca="true" t="shared" si="777" ref="F1294:F1295">ROUND(0,2)</f>
        <v>0</v>
      </c>
      <c r="G1294" s="12">
        <f>ROUND(2700,2)</f>
        <v>2700</v>
      </c>
      <c r="H1294" s="12">
        <f>ROUND(714.12,2)</f>
        <v>714.12</v>
      </c>
      <c r="I1294" s="13">
        <f>ROUND(714.12,2)</f>
        <v>714.12</v>
      </c>
      <c r="J1294" s="13"/>
      <c r="K1294" s="13">
        <f>ROUND(714.12,2)</f>
        <v>714.12</v>
      </c>
      <c r="L1294" s="13"/>
      <c r="M1294" s="12">
        <f>ROUND(714.12,2)</f>
        <v>714.12</v>
      </c>
      <c r="N1294" s="12">
        <f>ROUND(607.12,2)</f>
        <v>607.12</v>
      </c>
      <c r="O1294" s="12">
        <f aca="true" t="shared" si="778" ref="O1294:O1295">ROUND(1985.88,2)</f>
        <v>1985.88</v>
      </c>
      <c r="P1294" s="14">
        <v>73.55111111111111</v>
      </c>
      <c r="Q1294" s="14">
        <v>26.448888888888888</v>
      </c>
    </row>
    <row r="1295" spans="1:17" ht="12.75" customHeight="1">
      <c r="A1295" s="15" t="s">
        <v>835</v>
      </c>
      <c r="B1295" s="15"/>
      <c r="C1295" s="15"/>
      <c r="D1295" s="15"/>
      <c r="E1295" s="16" t="s">
        <v>833</v>
      </c>
      <c r="F1295" s="17">
        <f t="shared" si="777"/>
        <v>0</v>
      </c>
      <c r="G1295" s="17">
        <f>ROUND(0,2)</f>
        <v>0</v>
      </c>
      <c r="H1295" s="17">
        <f>ROUND(0,2)</f>
        <v>0</v>
      </c>
      <c r="I1295" s="17">
        <f>ROUND(0,2)</f>
        <v>0</v>
      </c>
      <c r="J1295" s="17"/>
      <c r="K1295" s="17">
        <f>ROUND(0,2)</f>
        <v>0</v>
      </c>
      <c r="L1295" s="17"/>
      <c r="M1295" s="17">
        <f>ROUND(107,2)</f>
        <v>107</v>
      </c>
      <c r="N1295" s="17">
        <f>ROUND(0,2)</f>
        <v>0</v>
      </c>
      <c r="O1295" s="17">
        <f t="shared" si="778"/>
        <v>1985.88</v>
      </c>
      <c r="P1295" s="18">
        <v>26.448888888888888</v>
      </c>
      <c r="Q1295" s="18">
        <v>85.01652383352938</v>
      </c>
    </row>
    <row r="1296" spans="1:17" ht="12.75" customHeight="1">
      <c r="A1296" s="19" t="s">
        <v>79</v>
      </c>
      <c r="B1296" s="19"/>
      <c r="C1296" s="19"/>
      <c r="D1296" s="19"/>
      <c r="E1296" s="20">
        <f>SUM('DS1'!$A$337)</f>
        <v>2700</v>
      </c>
      <c r="F1296" s="20">
        <v>0</v>
      </c>
      <c r="G1296" s="20">
        <v>2700</v>
      </c>
      <c r="H1296" s="20">
        <v>714.12</v>
      </c>
      <c r="I1296" s="21">
        <v>714.12</v>
      </c>
      <c r="J1296" s="21"/>
      <c r="K1296" s="21">
        <v>714.12</v>
      </c>
      <c r="L1296" s="21"/>
      <c r="M1296" s="20">
        <v>714.12</v>
      </c>
      <c r="N1296" s="20">
        <v>607.12</v>
      </c>
      <c r="O1296" s="20">
        <v>1985.88</v>
      </c>
      <c r="P1296" s="22">
        <v>73.55111111111111</v>
      </c>
      <c r="Q1296" s="22">
        <v>26.448888888888888</v>
      </c>
    </row>
    <row r="1297" spans="1:17" ht="12.75" customHeight="1">
      <c r="A1297" s="23"/>
      <c r="B1297" s="24"/>
      <c r="C1297" s="24"/>
      <c r="D1297" s="24"/>
      <c r="E1297" s="23"/>
      <c r="F1297" s="20">
        <v>0</v>
      </c>
      <c r="G1297" s="20">
        <v>0</v>
      </c>
      <c r="H1297" s="20">
        <v>0</v>
      </c>
      <c r="I1297" s="21">
        <v>0</v>
      </c>
      <c r="J1297" s="21"/>
      <c r="K1297" s="21">
        <v>0</v>
      </c>
      <c r="L1297" s="21"/>
      <c r="M1297" s="20">
        <v>107</v>
      </c>
      <c r="N1297" s="20">
        <v>0</v>
      </c>
      <c r="O1297" s="20">
        <v>1985.88</v>
      </c>
      <c r="P1297" s="22">
        <v>26.448888888888888</v>
      </c>
      <c r="Q1297" s="22">
        <v>85.01652383352938</v>
      </c>
    </row>
    <row r="1298" spans="1:17" ht="20.25" customHeight="1">
      <c r="A1298" s="23"/>
      <c r="B1298" s="24"/>
      <c r="C1298" s="24"/>
      <c r="D1298" s="24"/>
      <c r="E1298" s="23"/>
      <c r="F1298" s="23"/>
      <c r="G1298" s="23"/>
      <c r="H1298" s="23"/>
      <c r="I1298" s="24"/>
      <c r="J1298" s="24"/>
      <c r="K1298" s="24"/>
      <c r="L1298" s="24"/>
      <c r="M1298" s="23"/>
      <c r="N1298" s="23"/>
      <c r="O1298" s="23"/>
      <c r="P1298" s="23"/>
      <c r="Q1298" s="23"/>
    </row>
    <row r="1299" spans="1:17" ht="12.75" customHeight="1">
      <c r="A1299" s="10"/>
      <c r="B1299" s="11" t="s">
        <v>836</v>
      </c>
      <c r="C1299" s="11"/>
      <c r="D1299" s="11"/>
      <c r="E1299" s="12">
        <f>ROUND(2900,2)</f>
        <v>2900</v>
      </c>
      <c r="F1299" s="12">
        <f aca="true" t="shared" si="779" ref="F1299:F1300">ROUND(0,2)</f>
        <v>0</v>
      </c>
      <c r="G1299" s="12">
        <f>ROUND(2900,2)</f>
        <v>2900</v>
      </c>
      <c r="H1299" s="12">
        <f>ROUND(2145.35,2)</f>
        <v>2145.35</v>
      </c>
      <c r="I1299" s="13">
        <f>ROUND(2145.35,2)</f>
        <v>2145.35</v>
      </c>
      <c r="J1299" s="13"/>
      <c r="K1299" s="13">
        <f>ROUND(2145.35,2)</f>
        <v>2145.35</v>
      </c>
      <c r="L1299" s="13"/>
      <c r="M1299" s="12">
        <f>ROUND(2145.35,2)</f>
        <v>2145.35</v>
      </c>
      <c r="N1299" s="12">
        <f>ROUND(2145.35,2)</f>
        <v>2145.35</v>
      </c>
      <c r="O1299" s="12">
        <f>ROUND(754.65,2)</f>
        <v>754.65</v>
      </c>
      <c r="P1299" s="14">
        <v>26.02241379310345</v>
      </c>
      <c r="Q1299" s="14">
        <v>73.97758620689655</v>
      </c>
    </row>
    <row r="1300" spans="1:17" ht="12.75" customHeight="1">
      <c r="A1300" s="15" t="s">
        <v>837</v>
      </c>
      <c r="B1300" s="15"/>
      <c r="C1300" s="15"/>
      <c r="D1300" s="15"/>
      <c r="E1300" s="16" t="s">
        <v>833</v>
      </c>
      <c r="F1300" s="17">
        <f t="shared" si="779"/>
        <v>0</v>
      </c>
      <c r="G1300" s="17">
        <f>ROUND(0,2)</f>
        <v>0</v>
      </c>
      <c r="H1300" s="17">
        <f>ROUND(0,2)</f>
        <v>0</v>
      </c>
      <c r="I1300" s="17">
        <f>ROUND(0,2)</f>
        <v>0</v>
      </c>
      <c r="J1300" s="17"/>
      <c r="K1300" s="17">
        <f>ROUND(0,2)</f>
        <v>0</v>
      </c>
      <c r="L1300" s="17"/>
      <c r="M1300" s="17">
        <f>ROUND(0,2)</f>
        <v>0</v>
      </c>
      <c r="N1300" s="17">
        <f>ROUND(0,2)</f>
        <v>0</v>
      </c>
      <c r="O1300" s="17">
        <f>ROUND(754.65,2)</f>
        <v>754.65</v>
      </c>
      <c r="P1300" s="18">
        <v>73.97758620689655</v>
      </c>
      <c r="Q1300" s="18">
        <v>100</v>
      </c>
    </row>
    <row r="1301" spans="1:17" ht="12.75" customHeight="1">
      <c r="A1301" s="19" t="s">
        <v>838</v>
      </c>
      <c r="B1301" s="19"/>
      <c r="C1301" s="19"/>
      <c r="D1301" s="19"/>
      <c r="E1301" s="20">
        <f>SUM('DS1'!$A$338)</f>
        <v>2900</v>
      </c>
      <c r="F1301" s="20">
        <v>0</v>
      </c>
      <c r="G1301" s="20">
        <v>2900</v>
      </c>
      <c r="H1301" s="20">
        <v>2145.35</v>
      </c>
      <c r="I1301" s="21">
        <v>2145.35</v>
      </c>
      <c r="J1301" s="21"/>
      <c r="K1301" s="21">
        <v>2145.35</v>
      </c>
      <c r="L1301" s="21"/>
      <c r="M1301" s="20">
        <v>2145.35</v>
      </c>
      <c r="N1301" s="20">
        <v>2145.35</v>
      </c>
      <c r="O1301" s="20">
        <v>754.65</v>
      </c>
      <c r="P1301" s="22">
        <v>26.02241379310345</v>
      </c>
      <c r="Q1301" s="22">
        <v>73.97758620689655</v>
      </c>
    </row>
    <row r="1302" spans="1:17" ht="12.75" customHeight="1">
      <c r="A1302" s="23"/>
      <c r="B1302" s="24"/>
      <c r="C1302" s="24"/>
      <c r="D1302" s="24"/>
      <c r="E1302" s="23"/>
      <c r="F1302" s="20">
        <v>0</v>
      </c>
      <c r="G1302" s="20">
        <v>0</v>
      </c>
      <c r="H1302" s="20">
        <v>0</v>
      </c>
      <c r="I1302" s="21">
        <v>0</v>
      </c>
      <c r="J1302" s="21"/>
      <c r="K1302" s="21">
        <v>0</v>
      </c>
      <c r="L1302" s="21"/>
      <c r="M1302" s="20">
        <v>0</v>
      </c>
      <c r="N1302" s="20">
        <v>0</v>
      </c>
      <c r="O1302" s="20">
        <v>754.6500000000001</v>
      </c>
      <c r="P1302" s="22">
        <v>73.97758620689655</v>
      </c>
      <c r="Q1302" s="22">
        <v>100</v>
      </c>
    </row>
    <row r="1303" spans="1:17" ht="20.25" customHeight="1">
      <c r="A1303" s="23"/>
      <c r="B1303" s="24"/>
      <c r="C1303" s="24"/>
      <c r="D1303" s="24"/>
      <c r="E1303" s="23"/>
      <c r="F1303" s="23"/>
      <c r="G1303" s="23"/>
      <c r="H1303" s="23"/>
      <c r="I1303" s="24"/>
      <c r="J1303" s="24"/>
      <c r="K1303" s="24"/>
      <c r="L1303" s="24"/>
      <c r="M1303" s="23"/>
      <c r="N1303" s="23"/>
      <c r="O1303" s="23"/>
      <c r="P1303" s="23"/>
      <c r="Q1303" s="23"/>
    </row>
    <row r="1304" spans="1:17" ht="12.75" customHeight="1">
      <c r="A1304" s="10"/>
      <c r="B1304" s="11" t="s">
        <v>839</v>
      </c>
      <c r="C1304" s="11"/>
      <c r="D1304" s="11"/>
      <c r="E1304" s="12">
        <f>ROUND(90000,2)</f>
        <v>90000</v>
      </c>
      <c r="F1304" s="12">
        <f aca="true" t="shared" si="780" ref="F1304:F1307">ROUND(0,2)</f>
        <v>0</v>
      </c>
      <c r="G1304" s="12">
        <f>ROUND(90000,2)</f>
        <v>90000</v>
      </c>
      <c r="H1304" s="12">
        <f>ROUND(42878.27,2)</f>
        <v>42878.27</v>
      </c>
      <c r="I1304" s="13">
        <f>ROUND(42878.27,2)</f>
        <v>42878.27</v>
      </c>
      <c r="J1304" s="13"/>
      <c r="K1304" s="13">
        <f>ROUND(42878.27,2)</f>
        <v>42878.27</v>
      </c>
      <c r="L1304" s="13"/>
      <c r="M1304" s="12">
        <f>ROUND(42878.27,2)</f>
        <v>42878.27</v>
      </c>
      <c r="N1304" s="12">
        <f>ROUND(42878.27,2)</f>
        <v>42878.27</v>
      </c>
      <c r="O1304" s="12">
        <f aca="true" t="shared" si="781" ref="O1304:O1305">ROUND(47121.73,2)</f>
        <v>47121.73</v>
      </c>
      <c r="P1304" s="14">
        <v>52.35747777777778</v>
      </c>
      <c r="Q1304" s="14">
        <v>47.64252222222222</v>
      </c>
    </row>
    <row r="1305" spans="1:17" ht="12.75" customHeight="1">
      <c r="A1305" s="15" t="s">
        <v>840</v>
      </c>
      <c r="B1305" s="15"/>
      <c r="C1305" s="15"/>
      <c r="D1305" s="15"/>
      <c r="E1305" s="16" t="s">
        <v>773</v>
      </c>
      <c r="F1305" s="17">
        <f t="shared" si="780"/>
        <v>0</v>
      </c>
      <c r="G1305" s="17">
        <f>ROUND(0,2)</f>
        <v>0</v>
      </c>
      <c r="H1305" s="17">
        <f>ROUND(0,2)</f>
        <v>0</v>
      </c>
      <c r="I1305" s="17">
        <f>ROUND(0,2)</f>
        <v>0</v>
      </c>
      <c r="J1305" s="17"/>
      <c r="K1305" s="17">
        <f>ROUND(0,2)</f>
        <v>0</v>
      </c>
      <c r="L1305" s="17"/>
      <c r="M1305" s="17">
        <f>ROUND(0,2)</f>
        <v>0</v>
      </c>
      <c r="N1305" s="17">
        <f>ROUND(0,2)</f>
        <v>0</v>
      </c>
      <c r="O1305" s="17">
        <f t="shared" si="781"/>
        <v>47121.73</v>
      </c>
      <c r="P1305" s="18">
        <v>47.64252222222222</v>
      </c>
      <c r="Q1305" s="18">
        <v>100</v>
      </c>
    </row>
    <row r="1306" spans="1:17" ht="12.75" customHeight="1">
      <c r="A1306" s="10"/>
      <c r="B1306" s="11" t="s">
        <v>841</v>
      </c>
      <c r="C1306" s="11"/>
      <c r="D1306" s="11"/>
      <c r="E1306" s="12">
        <f>ROUND(7400,2)</f>
        <v>7400</v>
      </c>
      <c r="F1306" s="12">
        <f t="shared" si="780"/>
        <v>0</v>
      </c>
      <c r="G1306" s="12">
        <f>ROUND(7400,2)</f>
        <v>7400</v>
      </c>
      <c r="H1306" s="12">
        <f>ROUND(6131,2)</f>
        <v>6131</v>
      </c>
      <c r="I1306" s="13">
        <f>ROUND(6131,2)</f>
        <v>6131</v>
      </c>
      <c r="J1306" s="13"/>
      <c r="K1306" s="13">
        <f>ROUND(6131,2)</f>
        <v>6131</v>
      </c>
      <c r="L1306" s="13"/>
      <c r="M1306" s="12">
        <f>ROUND(6131,2)</f>
        <v>6131</v>
      </c>
      <c r="N1306" s="12">
        <f>ROUND(5999.03,2)</f>
        <v>5999.03</v>
      </c>
      <c r="O1306" s="12">
        <f aca="true" t="shared" si="782" ref="O1306:O1307">ROUND(1269,2)</f>
        <v>1269</v>
      </c>
      <c r="P1306" s="14">
        <v>17.14864864864865</v>
      </c>
      <c r="Q1306" s="14">
        <v>82.85135135135135</v>
      </c>
    </row>
    <row r="1307" spans="1:17" ht="12.75" customHeight="1">
      <c r="A1307" s="15" t="s">
        <v>842</v>
      </c>
      <c r="B1307" s="15"/>
      <c r="C1307" s="15"/>
      <c r="D1307" s="15"/>
      <c r="E1307" s="16" t="s">
        <v>773</v>
      </c>
      <c r="F1307" s="17">
        <f t="shared" si="780"/>
        <v>0</v>
      </c>
      <c r="G1307" s="17">
        <f>ROUND(0,2)</f>
        <v>0</v>
      </c>
      <c r="H1307" s="17">
        <f>ROUND(0,2)</f>
        <v>0</v>
      </c>
      <c r="I1307" s="17">
        <f>ROUND(0,2)</f>
        <v>0</v>
      </c>
      <c r="J1307" s="17"/>
      <c r="K1307" s="17">
        <f>ROUND(0,2)</f>
        <v>0</v>
      </c>
      <c r="L1307" s="17"/>
      <c r="M1307" s="17">
        <f>ROUND(131.97,2)</f>
        <v>131.97</v>
      </c>
      <c r="N1307" s="17">
        <f>ROUND(0,2)</f>
        <v>0</v>
      </c>
      <c r="O1307" s="17">
        <f t="shared" si="782"/>
        <v>1269</v>
      </c>
      <c r="P1307" s="18">
        <v>82.85135135135135</v>
      </c>
      <c r="Q1307" s="18">
        <v>97.84749633012558</v>
      </c>
    </row>
    <row r="1308" spans="1:17" ht="12.75" customHeight="1">
      <c r="A1308" s="19" t="s">
        <v>92</v>
      </c>
      <c r="B1308" s="19"/>
      <c r="C1308" s="19"/>
      <c r="D1308" s="19"/>
      <c r="E1308" s="20">
        <f>SUM('DS1'!$A$339:$A$340)</f>
        <v>97400</v>
      </c>
      <c r="F1308" s="20">
        <v>0</v>
      </c>
      <c r="G1308" s="20">
        <v>97400</v>
      </c>
      <c r="H1308" s="20">
        <v>49009.27</v>
      </c>
      <c r="I1308" s="21">
        <v>49009.27</v>
      </c>
      <c r="J1308" s="21"/>
      <c r="K1308" s="21">
        <v>49009.27</v>
      </c>
      <c r="L1308" s="21"/>
      <c r="M1308" s="20">
        <v>49009.27</v>
      </c>
      <c r="N1308" s="20">
        <v>48877.3</v>
      </c>
      <c r="O1308" s="20">
        <v>48390.73</v>
      </c>
      <c r="P1308" s="22">
        <v>49.68247433264887</v>
      </c>
      <c r="Q1308" s="22">
        <v>50.31752566735113</v>
      </c>
    </row>
    <row r="1309" spans="1:17" ht="12.75" customHeight="1">
      <c r="A1309" s="23"/>
      <c r="B1309" s="24"/>
      <c r="C1309" s="24"/>
      <c r="D1309" s="24"/>
      <c r="E1309" s="23"/>
      <c r="F1309" s="20">
        <v>0</v>
      </c>
      <c r="G1309" s="20">
        <v>0</v>
      </c>
      <c r="H1309" s="20">
        <v>0</v>
      </c>
      <c r="I1309" s="21">
        <v>0</v>
      </c>
      <c r="J1309" s="21"/>
      <c r="K1309" s="21">
        <v>0</v>
      </c>
      <c r="L1309" s="21"/>
      <c r="M1309" s="20">
        <v>131.97000000000025</v>
      </c>
      <c r="N1309" s="20">
        <v>0</v>
      </c>
      <c r="O1309" s="20">
        <v>48390.73</v>
      </c>
      <c r="P1309" s="22">
        <v>50.31752566735113</v>
      </c>
      <c r="Q1309" s="22">
        <v>99.7307244119327</v>
      </c>
    </row>
    <row r="1310" spans="1:17" ht="20.25" customHeight="1">
      <c r="A1310" s="23"/>
      <c r="B1310" s="24"/>
      <c r="C1310" s="24"/>
      <c r="D1310" s="24"/>
      <c r="E1310" s="23"/>
      <c r="F1310" s="23"/>
      <c r="G1310" s="23"/>
      <c r="H1310" s="23"/>
      <c r="I1310" s="24"/>
      <c r="J1310" s="24"/>
      <c r="K1310" s="24"/>
      <c r="L1310" s="24"/>
      <c r="M1310" s="23"/>
      <c r="N1310" s="23"/>
      <c r="O1310" s="23"/>
      <c r="P1310" s="23"/>
      <c r="Q1310" s="23"/>
    </row>
    <row r="1311" spans="1:17" ht="12.75" customHeight="1">
      <c r="A1311" s="10"/>
      <c r="B1311" s="11" t="s">
        <v>843</v>
      </c>
      <c r="C1311" s="11"/>
      <c r="D1311" s="11"/>
      <c r="E1311" s="12">
        <f>ROUND(8000,2)</f>
        <v>8000</v>
      </c>
      <c r="F1311" s="12">
        <f aca="true" t="shared" si="783" ref="F1311:F1314">ROUND(0,2)</f>
        <v>0</v>
      </c>
      <c r="G1311" s="12">
        <f>ROUND(8000,2)</f>
        <v>8000</v>
      </c>
      <c r="H1311" s="12">
        <f>ROUND(1119.53,2)</f>
        <v>1119.53</v>
      </c>
      <c r="I1311" s="13">
        <f>ROUND(1119.53,2)</f>
        <v>1119.53</v>
      </c>
      <c r="J1311" s="13"/>
      <c r="K1311" s="13">
        <f>ROUND(1119.53,2)</f>
        <v>1119.53</v>
      </c>
      <c r="L1311" s="13"/>
      <c r="M1311" s="12">
        <f>ROUND(1119.53,2)</f>
        <v>1119.53</v>
      </c>
      <c r="N1311" s="12">
        <f>ROUND(1119.53,2)</f>
        <v>1119.53</v>
      </c>
      <c r="O1311" s="12">
        <f aca="true" t="shared" si="784" ref="O1311:O1312">ROUND(6880.47,2)</f>
        <v>6880.47</v>
      </c>
      <c r="P1311" s="14">
        <v>86.005875</v>
      </c>
      <c r="Q1311" s="14">
        <v>13.994124999999999</v>
      </c>
    </row>
    <row r="1312" spans="1:17" ht="12.75" customHeight="1">
      <c r="A1312" s="15" t="s">
        <v>844</v>
      </c>
      <c r="B1312" s="15"/>
      <c r="C1312" s="15"/>
      <c r="D1312" s="15"/>
      <c r="E1312" s="16" t="s">
        <v>845</v>
      </c>
      <c r="F1312" s="17">
        <f t="shared" si="783"/>
        <v>0</v>
      </c>
      <c r="G1312" s="17">
        <f aca="true" t="shared" si="785" ref="G1312:G1314">ROUND(0,2)</f>
        <v>0</v>
      </c>
      <c r="H1312" s="17">
        <f aca="true" t="shared" si="786" ref="H1312:H1314">ROUND(0,2)</f>
        <v>0</v>
      </c>
      <c r="I1312" s="17">
        <f aca="true" t="shared" si="787" ref="I1312:I1314">ROUND(0,2)</f>
        <v>0</v>
      </c>
      <c r="J1312" s="17"/>
      <c r="K1312" s="17">
        <f aca="true" t="shared" si="788" ref="K1312:K1314">ROUND(0,2)</f>
        <v>0</v>
      </c>
      <c r="L1312" s="17"/>
      <c r="M1312" s="17">
        <f aca="true" t="shared" si="789" ref="M1312:M1314">ROUND(0,2)</f>
        <v>0</v>
      </c>
      <c r="N1312" s="17">
        <f aca="true" t="shared" si="790" ref="N1312:N1314">ROUND(0,2)</f>
        <v>0</v>
      </c>
      <c r="O1312" s="17">
        <f t="shared" si="784"/>
        <v>6880.47</v>
      </c>
      <c r="P1312" s="18">
        <v>13.994124999999999</v>
      </c>
      <c r="Q1312" s="18">
        <v>100</v>
      </c>
    </row>
    <row r="1313" spans="1:17" ht="12.75" customHeight="1">
      <c r="A1313" s="10" t="s">
        <v>846</v>
      </c>
      <c r="B1313" s="11" t="s">
        <v>847</v>
      </c>
      <c r="C1313" s="11"/>
      <c r="D1313" s="11"/>
      <c r="E1313" s="12">
        <f>ROUND(0,2)</f>
        <v>0</v>
      </c>
      <c r="F1313" s="12">
        <f t="shared" si="783"/>
        <v>0</v>
      </c>
      <c r="G1313" s="12">
        <f t="shared" si="785"/>
        <v>0</v>
      </c>
      <c r="H1313" s="12">
        <f t="shared" si="786"/>
        <v>0</v>
      </c>
      <c r="I1313" s="13">
        <f t="shared" si="787"/>
        <v>0</v>
      </c>
      <c r="J1313" s="13"/>
      <c r="K1313" s="13">
        <f t="shared" si="788"/>
        <v>0</v>
      </c>
      <c r="L1313" s="13"/>
      <c r="M1313" s="12">
        <f t="shared" si="789"/>
        <v>0</v>
      </c>
      <c r="N1313" s="12">
        <f t="shared" si="790"/>
        <v>0</v>
      </c>
      <c r="O1313" s="12">
        <f aca="true" t="shared" si="791" ref="O1313:O1316">ROUND(0,2)</f>
        <v>0</v>
      </c>
      <c r="P1313" s="14">
        <v>0</v>
      </c>
      <c r="Q1313" s="14">
        <v>0</v>
      </c>
    </row>
    <row r="1314" spans="1:17" ht="12.75" customHeight="1">
      <c r="A1314" s="15" t="s">
        <v>848</v>
      </c>
      <c r="B1314" s="15"/>
      <c r="C1314" s="15"/>
      <c r="D1314" s="15"/>
      <c r="E1314" s="16" t="s">
        <v>849</v>
      </c>
      <c r="F1314" s="17">
        <f t="shared" si="783"/>
        <v>0</v>
      </c>
      <c r="G1314" s="17">
        <f t="shared" si="785"/>
        <v>0</v>
      </c>
      <c r="H1314" s="17">
        <f t="shared" si="786"/>
        <v>0</v>
      </c>
      <c r="I1314" s="17">
        <f t="shared" si="787"/>
        <v>0</v>
      </c>
      <c r="J1314" s="17"/>
      <c r="K1314" s="17">
        <f t="shared" si="788"/>
        <v>0</v>
      </c>
      <c r="L1314" s="17"/>
      <c r="M1314" s="17">
        <f t="shared" si="789"/>
        <v>0</v>
      </c>
      <c r="N1314" s="17">
        <f t="shared" si="790"/>
        <v>0</v>
      </c>
      <c r="O1314" s="17">
        <f t="shared" si="791"/>
        <v>0</v>
      </c>
      <c r="P1314" s="18">
        <v>0</v>
      </c>
      <c r="Q1314" s="18">
        <v>0</v>
      </c>
    </row>
    <row r="1315" spans="1:17" ht="12.75" customHeight="1">
      <c r="A1315" s="10" t="s">
        <v>83</v>
      </c>
      <c r="B1315" s="11" t="s">
        <v>847</v>
      </c>
      <c r="C1315" s="11"/>
      <c r="D1315" s="11"/>
      <c r="E1315" s="12">
        <f>ROUND(0,2)</f>
        <v>0</v>
      </c>
      <c r="F1315" s="12">
        <f>ROUND(24029.43,2)</f>
        <v>24029.43</v>
      </c>
      <c r="G1315" s="12">
        <f>ROUND(24029.43,2)</f>
        <v>24029.43</v>
      </c>
      <c r="H1315" s="12">
        <f>ROUND(24029.43,2)</f>
        <v>24029.43</v>
      </c>
      <c r="I1315" s="13">
        <f>ROUND(24029.43,2)</f>
        <v>24029.43</v>
      </c>
      <c r="J1315" s="13"/>
      <c r="K1315" s="13">
        <f>ROUND(24029.43,2)</f>
        <v>24029.43</v>
      </c>
      <c r="L1315" s="13"/>
      <c r="M1315" s="12">
        <f>ROUND(24029.43,2)</f>
        <v>24029.43</v>
      </c>
      <c r="N1315" s="12">
        <f>ROUND(24029.43,2)</f>
        <v>24029.43</v>
      </c>
      <c r="O1315" s="12">
        <f t="shared" si="791"/>
        <v>0</v>
      </c>
      <c r="P1315" s="14">
        <v>0</v>
      </c>
      <c r="Q1315" s="14">
        <v>100</v>
      </c>
    </row>
    <row r="1316" spans="1:17" ht="12.75" customHeight="1">
      <c r="A1316" s="15" t="s">
        <v>850</v>
      </c>
      <c r="B1316" s="15"/>
      <c r="C1316" s="15"/>
      <c r="D1316" s="15"/>
      <c r="E1316" s="16" t="s">
        <v>851</v>
      </c>
      <c r="F1316" s="17">
        <f>ROUND(19203.46,2)</f>
        <v>19203.46</v>
      </c>
      <c r="G1316" s="17">
        <f>ROUND(0,2)</f>
        <v>0</v>
      </c>
      <c r="H1316" s="17">
        <f>ROUND(0,2)</f>
        <v>0</v>
      </c>
      <c r="I1316" s="17">
        <f>ROUND(0,2)</f>
        <v>0</v>
      </c>
      <c r="J1316" s="17"/>
      <c r="K1316" s="17">
        <f>ROUND(0,2)</f>
        <v>0</v>
      </c>
      <c r="L1316" s="17"/>
      <c r="M1316" s="17">
        <f>ROUND(0,2)</f>
        <v>0</v>
      </c>
      <c r="N1316" s="17">
        <f>ROUND(0,2)</f>
        <v>0</v>
      </c>
      <c r="O1316" s="17">
        <f t="shared" si="791"/>
        <v>0</v>
      </c>
      <c r="P1316" s="18">
        <v>100</v>
      </c>
      <c r="Q1316" s="18">
        <v>100</v>
      </c>
    </row>
    <row r="1317" spans="1:17" ht="12.75" customHeight="1">
      <c r="A1317" s="19" t="s">
        <v>286</v>
      </c>
      <c r="B1317" s="19"/>
      <c r="C1317" s="19"/>
      <c r="D1317" s="19"/>
      <c r="E1317" s="20">
        <f>SUM('DS1'!$A$341:$A$343)</f>
        <v>8000</v>
      </c>
      <c r="F1317" s="20">
        <v>24029.43</v>
      </c>
      <c r="G1317" s="20">
        <v>32029.43</v>
      </c>
      <c r="H1317" s="20">
        <v>25148.96</v>
      </c>
      <c r="I1317" s="21">
        <v>25148.96</v>
      </c>
      <c r="J1317" s="21"/>
      <c r="K1317" s="21">
        <v>25148.96</v>
      </c>
      <c r="L1317" s="21"/>
      <c r="M1317" s="20">
        <v>25148.96</v>
      </c>
      <c r="N1317" s="20">
        <v>25148.96</v>
      </c>
      <c r="O1317" s="20">
        <v>6880.47</v>
      </c>
      <c r="P1317" s="22">
        <v>21.481712287730378</v>
      </c>
      <c r="Q1317" s="22">
        <v>78.51828771226963</v>
      </c>
    </row>
    <row r="1318" spans="1:17" ht="12.75" customHeight="1">
      <c r="A1318" s="23"/>
      <c r="B1318" s="24"/>
      <c r="C1318" s="24"/>
      <c r="D1318" s="24"/>
      <c r="E1318" s="23"/>
      <c r="F1318" s="20">
        <v>19203.46</v>
      </c>
      <c r="G1318" s="20">
        <v>0</v>
      </c>
      <c r="H1318" s="20">
        <v>0</v>
      </c>
      <c r="I1318" s="21">
        <v>0</v>
      </c>
      <c r="J1318" s="21"/>
      <c r="K1318" s="21">
        <v>0</v>
      </c>
      <c r="L1318" s="21"/>
      <c r="M1318" s="20">
        <v>0</v>
      </c>
      <c r="N1318" s="20">
        <v>0</v>
      </c>
      <c r="O1318" s="20">
        <v>6880.47</v>
      </c>
      <c r="P1318" s="22">
        <v>78.51828771226963</v>
      </c>
      <c r="Q1318" s="22">
        <v>100</v>
      </c>
    </row>
    <row r="1319" spans="1:17" ht="20.25" customHeight="1">
      <c r="A1319" s="23"/>
      <c r="B1319" s="24"/>
      <c r="C1319" s="24"/>
      <c r="D1319" s="24"/>
      <c r="E1319" s="23"/>
      <c r="F1319" s="23"/>
      <c r="G1319" s="23"/>
      <c r="H1319" s="23"/>
      <c r="I1319" s="24"/>
      <c r="J1319" s="24"/>
      <c r="K1319" s="24"/>
      <c r="L1319" s="24"/>
      <c r="M1319" s="23"/>
      <c r="N1319" s="23"/>
      <c r="O1319" s="23"/>
      <c r="P1319" s="23"/>
      <c r="Q1319" s="23"/>
    </row>
    <row r="1320" spans="1:17" ht="12.75" customHeight="1">
      <c r="A1320" s="19" t="s">
        <v>852</v>
      </c>
      <c r="B1320" s="19"/>
      <c r="C1320" s="19"/>
      <c r="D1320" s="19"/>
      <c r="E1320" s="20">
        <f>SUM('DS1'!$A$336:$A$343)</f>
        <v>192000</v>
      </c>
      <c r="F1320" s="20">
        <v>24029.43</v>
      </c>
      <c r="G1320" s="20">
        <v>216029.43</v>
      </c>
      <c r="H1320" s="20">
        <v>120345.42</v>
      </c>
      <c r="I1320" s="21">
        <v>120345.42</v>
      </c>
      <c r="J1320" s="21"/>
      <c r="K1320" s="21">
        <v>120345.42</v>
      </c>
      <c r="L1320" s="21"/>
      <c r="M1320" s="20">
        <v>120345.42</v>
      </c>
      <c r="N1320" s="20">
        <v>118595.98</v>
      </c>
      <c r="O1320" s="20">
        <v>95684.01</v>
      </c>
      <c r="P1320" s="22">
        <v>44.29211797670345</v>
      </c>
      <c r="Q1320" s="22">
        <v>55.70788202329655</v>
      </c>
    </row>
    <row r="1321" spans="1:17" ht="12.75" customHeight="1">
      <c r="A1321" s="23"/>
      <c r="B1321" s="24"/>
      <c r="C1321" s="24"/>
      <c r="D1321" s="24"/>
      <c r="E1321" s="23"/>
      <c r="F1321" s="20">
        <v>19203.46</v>
      </c>
      <c r="G1321" s="20">
        <v>0</v>
      </c>
      <c r="H1321" s="20">
        <v>0</v>
      </c>
      <c r="I1321" s="21">
        <v>0</v>
      </c>
      <c r="J1321" s="21"/>
      <c r="K1321" s="21">
        <v>0</v>
      </c>
      <c r="L1321" s="21"/>
      <c r="M1321" s="20">
        <v>1749.4400000000014</v>
      </c>
      <c r="N1321" s="20">
        <v>0</v>
      </c>
      <c r="O1321" s="20">
        <v>95684.01</v>
      </c>
      <c r="P1321" s="22">
        <v>55.70788202329655</v>
      </c>
      <c r="Q1321" s="22">
        <v>98.5463177576679</v>
      </c>
    </row>
    <row r="1322" spans="1:17" ht="18" customHeight="1">
      <c r="A1322" s="23"/>
      <c r="B1322" s="24"/>
      <c r="C1322" s="24"/>
      <c r="D1322" s="24"/>
      <c r="E1322" s="23"/>
      <c r="F1322" s="23"/>
      <c r="G1322" s="23"/>
      <c r="H1322" s="23"/>
      <c r="I1322" s="24"/>
      <c r="J1322" s="24"/>
      <c r="K1322" s="24"/>
      <c r="L1322" s="24"/>
      <c r="M1322" s="23"/>
      <c r="N1322" s="23"/>
      <c r="O1322" s="23"/>
      <c r="P1322" s="23"/>
      <c r="Q1322" s="23"/>
    </row>
    <row r="1323" spans="1:17" ht="12.75" customHeight="1">
      <c r="A1323" s="10"/>
      <c r="B1323" s="11" t="s">
        <v>853</v>
      </c>
      <c r="C1323" s="11"/>
      <c r="D1323" s="11"/>
      <c r="E1323" s="12">
        <f>ROUND(27240.92,2)</f>
        <v>27240.92</v>
      </c>
      <c r="F1323" s="12">
        <f>ROUND(245.17,2)</f>
        <v>245.17</v>
      </c>
      <c r="G1323" s="12">
        <f>ROUND(27486.09,2)</f>
        <v>27486.09</v>
      </c>
      <c r="H1323" s="12">
        <f>ROUND(26744.84,2)</f>
        <v>26744.84</v>
      </c>
      <c r="I1323" s="13">
        <f>ROUND(26744.84,2)</f>
        <v>26744.84</v>
      </c>
      <c r="J1323" s="13"/>
      <c r="K1323" s="13">
        <f>ROUND(26744.84,2)</f>
        <v>26744.84</v>
      </c>
      <c r="L1323" s="13"/>
      <c r="M1323" s="12">
        <f>ROUND(26744.84,2)</f>
        <v>26744.84</v>
      </c>
      <c r="N1323" s="12">
        <f>ROUND(26744.84,2)</f>
        <v>26744.84</v>
      </c>
      <c r="O1323" s="12">
        <f>ROUND(741.25,2)</f>
        <v>741.25</v>
      </c>
      <c r="P1323" s="14">
        <v>2.6968186453584346</v>
      </c>
      <c r="Q1323" s="14">
        <v>97.30318135464158</v>
      </c>
    </row>
    <row r="1324" spans="1:17" ht="12.75" customHeight="1">
      <c r="A1324" s="15" t="s">
        <v>854</v>
      </c>
      <c r="B1324" s="15"/>
      <c r="C1324" s="15"/>
      <c r="D1324" s="15"/>
      <c r="E1324" s="16" t="s">
        <v>855</v>
      </c>
      <c r="F1324" s="17">
        <f>ROUND(0,2)</f>
        <v>0</v>
      </c>
      <c r="G1324" s="17">
        <f>ROUND(0,2)</f>
        <v>0</v>
      </c>
      <c r="H1324" s="17">
        <f>ROUND(0,2)</f>
        <v>0</v>
      </c>
      <c r="I1324" s="17">
        <f>ROUND(0,2)</f>
        <v>0</v>
      </c>
      <c r="J1324" s="17"/>
      <c r="K1324" s="17">
        <f>ROUND(0,2)</f>
        <v>0</v>
      </c>
      <c r="L1324" s="17"/>
      <c r="M1324" s="17">
        <f>ROUND(0,2)</f>
        <v>0</v>
      </c>
      <c r="N1324" s="17">
        <f>ROUND(0,2)</f>
        <v>0</v>
      </c>
      <c r="O1324" s="17">
        <f>ROUND(741.249999999996,2)</f>
        <v>741.25</v>
      </c>
      <c r="P1324" s="18">
        <v>97.30318135464158</v>
      </c>
      <c r="Q1324" s="18">
        <v>100</v>
      </c>
    </row>
    <row r="1325" spans="1:17" ht="12.75" customHeight="1">
      <c r="A1325" s="19" t="s">
        <v>60</v>
      </c>
      <c r="B1325" s="19"/>
      <c r="C1325" s="19"/>
      <c r="D1325" s="19"/>
      <c r="E1325" s="20">
        <f>SUM('DS1'!$A$344)</f>
        <v>27240.92</v>
      </c>
      <c r="F1325" s="20">
        <v>245.17</v>
      </c>
      <c r="G1325" s="20">
        <v>27486.089999999997</v>
      </c>
      <c r="H1325" s="20">
        <v>26744.84</v>
      </c>
      <c r="I1325" s="21">
        <v>26744.84</v>
      </c>
      <c r="J1325" s="21"/>
      <c r="K1325" s="21">
        <v>26744.84</v>
      </c>
      <c r="L1325" s="21"/>
      <c r="M1325" s="20">
        <v>26744.84</v>
      </c>
      <c r="N1325" s="20">
        <v>26744.84</v>
      </c>
      <c r="O1325" s="20">
        <v>741.25</v>
      </c>
      <c r="P1325" s="22">
        <v>2.6968186453584346</v>
      </c>
      <c r="Q1325" s="22">
        <v>97.30318135464158</v>
      </c>
    </row>
    <row r="1326" spans="1:17" ht="12.75" customHeight="1">
      <c r="A1326" s="23"/>
      <c r="B1326" s="24"/>
      <c r="C1326" s="24"/>
      <c r="D1326" s="24"/>
      <c r="E1326" s="23"/>
      <c r="F1326" s="20">
        <v>0</v>
      </c>
      <c r="G1326" s="20">
        <v>0</v>
      </c>
      <c r="H1326" s="20">
        <v>0</v>
      </c>
      <c r="I1326" s="21">
        <v>0</v>
      </c>
      <c r="J1326" s="21"/>
      <c r="K1326" s="21">
        <v>0</v>
      </c>
      <c r="L1326" s="21"/>
      <c r="M1326" s="20">
        <v>0</v>
      </c>
      <c r="N1326" s="20">
        <v>0</v>
      </c>
      <c r="O1326" s="20">
        <v>741.2499999999964</v>
      </c>
      <c r="P1326" s="22">
        <v>97.30318135464158</v>
      </c>
      <c r="Q1326" s="22">
        <v>100</v>
      </c>
    </row>
    <row r="1327" spans="1:17" ht="20.25" customHeight="1">
      <c r="A1327" s="23"/>
      <c r="B1327" s="24"/>
      <c r="C1327" s="24"/>
      <c r="D1327" s="24"/>
      <c r="E1327" s="23"/>
      <c r="F1327" s="23"/>
      <c r="G1327" s="23"/>
      <c r="H1327" s="23"/>
      <c r="I1327" s="24"/>
      <c r="J1327" s="24"/>
      <c r="K1327" s="24"/>
      <c r="L1327" s="24"/>
      <c r="M1327" s="23"/>
      <c r="N1327" s="23"/>
      <c r="O1327" s="23"/>
      <c r="P1327" s="23"/>
      <c r="Q1327" s="23"/>
    </row>
    <row r="1328" spans="1:17" ht="12.75" customHeight="1">
      <c r="A1328" s="10"/>
      <c r="B1328" s="11" t="s">
        <v>856</v>
      </c>
      <c r="C1328" s="11"/>
      <c r="D1328" s="11"/>
      <c r="E1328" s="12">
        <f>ROUND(10349.28,2)</f>
        <v>10349.28</v>
      </c>
      <c r="F1328" s="12">
        <f>ROUND(93.14,2)</f>
        <v>93.14</v>
      </c>
      <c r="G1328" s="12">
        <f>ROUND(10442.42,2)</f>
        <v>10442.42</v>
      </c>
      <c r="H1328" s="12">
        <f>ROUND(8564.15,2)</f>
        <v>8564.15</v>
      </c>
      <c r="I1328" s="13">
        <f>ROUND(8564.15,2)</f>
        <v>8564.15</v>
      </c>
      <c r="J1328" s="13"/>
      <c r="K1328" s="13">
        <f>ROUND(8564.15,2)</f>
        <v>8564.15</v>
      </c>
      <c r="L1328" s="13"/>
      <c r="M1328" s="12">
        <f>ROUND(8564.15,2)</f>
        <v>8564.15</v>
      </c>
      <c r="N1328" s="12">
        <f>ROUND(8564.15,2)</f>
        <v>8564.15</v>
      </c>
      <c r="O1328" s="12">
        <f>ROUND(1878.27,2)</f>
        <v>1878.27</v>
      </c>
      <c r="P1328" s="14">
        <v>17.98692257158781</v>
      </c>
      <c r="Q1328" s="14">
        <v>82.01307742841219</v>
      </c>
    </row>
    <row r="1329" spans="1:17" ht="12.75" customHeight="1">
      <c r="A1329" s="15" t="s">
        <v>857</v>
      </c>
      <c r="B1329" s="15"/>
      <c r="C1329" s="15"/>
      <c r="D1329" s="15"/>
      <c r="E1329" s="16" t="s">
        <v>855</v>
      </c>
      <c r="F1329" s="17">
        <f>ROUND(0,2)</f>
        <v>0</v>
      </c>
      <c r="G1329" s="17">
        <f>ROUND(0,2)</f>
        <v>0</v>
      </c>
      <c r="H1329" s="17">
        <f>ROUND(0,2)</f>
        <v>0</v>
      </c>
      <c r="I1329" s="17">
        <f>ROUND(0,2)</f>
        <v>0</v>
      </c>
      <c r="J1329" s="17"/>
      <c r="K1329" s="17">
        <f>ROUND(0,2)</f>
        <v>0</v>
      </c>
      <c r="L1329" s="17"/>
      <c r="M1329" s="17">
        <f>ROUND(0,2)</f>
        <v>0</v>
      </c>
      <c r="N1329" s="17">
        <f>ROUND(0,2)</f>
        <v>0</v>
      </c>
      <c r="O1329" s="17">
        <f>ROUND(1878.27,2)</f>
        <v>1878.27</v>
      </c>
      <c r="P1329" s="18">
        <v>82.01307742841219</v>
      </c>
      <c r="Q1329" s="18">
        <v>100</v>
      </c>
    </row>
    <row r="1330" spans="1:17" ht="12.75" customHeight="1">
      <c r="A1330" s="19" t="s">
        <v>68</v>
      </c>
      <c r="B1330" s="19"/>
      <c r="C1330" s="19"/>
      <c r="D1330" s="19"/>
      <c r="E1330" s="20">
        <f>SUM('DS1'!$A$345)</f>
        <v>10349.28</v>
      </c>
      <c r="F1330" s="20">
        <v>93.14</v>
      </c>
      <c r="G1330" s="20">
        <v>10442.42</v>
      </c>
      <c r="H1330" s="20">
        <v>8564.15</v>
      </c>
      <c r="I1330" s="21">
        <v>8564.15</v>
      </c>
      <c r="J1330" s="21"/>
      <c r="K1330" s="21">
        <v>8564.15</v>
      </c>
      <c r="L1330" s="21"/>
      <c r="M1330" s="20">
        <v>8564.15</v>
      </c>
      <c r="N1330" s="20">
        <v>8564.15</v>
      </c>
      <c r="O1330" s="20">
        <v>1878.27</v>
      </c>
      <c r="P1330" s="22">
        <v>17.98692257158781</v>
      </c>
      <c r="Q1330" s="22">
        <v>82.01307742841219</v>
      </c>
    </row>
    <row r="1331" spans="1:17" ht="12.75" customHeight="1">
      <c r="A1331" s="23"/>
      <c r="B1331" s="24"/>
      <c r="C1331" s="24"/>
      <c r="D1331" s="24"/>
      <c r="E1331" s="23"/>
      <c r="F1331" s="20">
        <v>0</v>
      </c>
      <c r="G1331" s="20">
        <v>0</v>
      </c>
      <c r="H1331" s="20">
        <v>0</v>
      </c>
      <c r="I1331" s="21">
        <v>0</v>
      </c>
      <c r="J1331" s="21"/>
      <c r="K1331" s="21">
        <v>0</v>
      </c>
      <c r="L1331" s="21"/>
      <c r="M1331" s="20">
        <v>0</v>
      </c>
      <c r="N1331" s="20">
        <v>0</v>
      </c>
      <c r="O1331" s="20">
        <v>1878.2700000000004</v>
      </c>
      <c r="P1331" s="22">
        <v>82.01307742841219</v>
      </c>
      <c r="Q1331" s="22">
        <v>100</v>
      </c>
    </row>
    <row r="1332" spans="1:17" ht="20.25" customHeight="1">
      <c r="A1332" s="23"/>
      <c r="B1332" s="24"/>
      <c r="C1332" s="24"/>
      <c r="D1332" s="24"/>
      <c r="E1332" s="23"/>
      <c r="F1332" s="23"/>
      <c r="G1332" s="23"/>
      <c r="H1332" s="23"/>
      <c r="I1332" s="24"/>
      <c r="J1332" s="24"/>
      <c r="K1332" s="24"/>
      <c r="L1332" s="24"/>
      <c r="M1332" s="23"/>
      <c r="N1332" s="23"/>
      <c r="O1332" s="23"/>
      <c r="P1332" s="23"/>
      <c r="Q1332" s="23"/>
    </row>
    <row r="1333" spans="1:17" ht="12.75" customHeight="1">
      <c r="A1333" s="10"/>
      <c r="B1333" s="11" t="s">
        <v>858</v>
      </c>
      <c r="C1333" s="11"/>
      <c r="D1333" s="11"/>
      <c r="E1333" s="12">
        <f>ROUND(5000,2)</f>
        <v>5000</v>
      </c>
      <c r="F1333" s="12">
        <f>ROUND(-5000,2)</f>
        <v>-5000</v>
      </c>
      <c r="G1333" s="12">
        <f aca="true" t="shared" si="792" ref="G1333:G1334">ROUND(0,2)</f>
        <v>0</v>
      </c>
      <c r="H1333" s="12">
        <f aca="true" t="shared" si="793" ref="H1333:H1334">ROUND(0,2)</f>
        <v>0</v>
      </c>
      <c r="I1333" s="13">
        <f aca="true" t="shared" si="794" ref="I1333:I1334">ROUND(0,2)</f>
        <v>0</v>
      </c>
      <c r="J1333" s="13"/>
      <c r="K1333" s="13">
        <f aca="true" t="shared" si="795" ref="K1333:K1334">ROUND(0,2)</f>
        <v>0</v>
      </c>
      <c r="L1333" s="13"/>
      <c r="M1333" s="12">
        <f aca="true" t="shared" si="796" ref="M1333:M1334">ROUND(0,2)</f>
        <v>0</v>
      </c>
      <c r="N1333" s="12">
        <f aca="true" t="shared" si="797" ref="N1333:N1334">ROUND(0,2)</f>
        <v>0</v>
      </c>
      <c r="O1333" s="12">
        <f aca="true" t="shared" si="798" ref="O1333:O1334">ROUND(0,2)</f>
        <v>0</v>
      </c>
      <c r="P1333" s="14">
        <v>0</v>
      </c>
      <c r="Q1333" s="14">
        <v>0</v>
      </c>
    </row>
    <row r="1334" spans="1:17" ht="12.75" customHeight="1">
      <c r="A1334" s="15" t="s">
        <v>859</v>
      </c>
      <c r="B1334" s="15"/>
      <c r="C1334" s="15"/>
      <c r="D1334" s="15"/>
      <c r="E1334" s="16" t="s">
        <v>860</v>
      </c>
      <c r="F1334" s="17">
        <f>ROUND(0,2)</f>
        <v>0</v>
      </c>
      <c r="G1334" s="17">
        <f t="shared" si="792"/>
        <v>0</v>
      </c>
      <c r="H1334" s="17">
        <f t="shared" si="793"/>
        <v>0</v>
      </c>
      <c r="I1334" s="17">
        <f t="shared" si="794"/>
        <v>0</v>
      </c>
      <c r="J1334" s="17"/>
      <c r="K1334" s="17">
        <f t="shared" si="795"/>
        <v>0</v>
      </c>
      <c r="L1334" s="17"/>
      <c r="M1334" s="17">
        <f t="shared" si="796"/>
        <v>0</v>
      </c>
      <c r="N1334" s="17">
        <f t="shared" si="797"/>
        <v>0</v>
      </c>
      <c r="O1334" s="17">
        <f t="shared" si="798"/>
        <v>0</v>
      </c>
      <c r="P1334" s="18">
        <v>0</v>
      </c>
      <c r="Q1334" s="18">
        <v>0</v>
      </c>
    </row>
    <row r="1335" spans="1:17" ht="12.75" customHeight="1">
      <c r="A1335" s="19" t="s">
        <v>124</v>
      </c>
      <c r="B1335" s="19"/>
      <c r="C1335" s="19"/>
      <c r="D1335" s="19"/>
      <c r="E1335" s="20">
        <f>SUM('DS1'!$A$346)</f>
        <v>5000</v>
      </c>
      <c r="F1335" s="20">
        <v>-5000</v>
      </c>
      <c r="G1335" s="20">
        <v>0</v>
      </c>
      <c r="H1335" s="20">
        <v>0</v>
      </c>
      <c r="I1335" s="21">
        <v>0</v>
      </c>
      <c r="J1335" s="21"/>
      <c r="K1335" s="21">
        <v>0</v>
      </c>
      <c r="L1335" s="21"/>
      <c r="M1335" s="20">
        <v>0</v>
      </c>
      <c r="N1335" s="20">
        <v>0</v>
      </c>
      <c r="O1335" s="20">
        <v>0</v>
      </c>
      <c r="P1335" s="22">
        <v>0</v>
      </c>
      <c r="Q1335" s="22">
        <v>0</v>
      </c>
    </row>
    <row r="1336" spans="1:17" ht="12.75" customHeight="1">
      <c r="A1336" s="23"/>
      <c r="B1336" s="24"/>
      <c r="C1336" s="24"/>
      <c r="D1336" s="24"/>
      <c r="E1336" s="23"/>
      <c r="F1336" s="20">
        <v>0</v>
      </c>
      <c r="G1336" s="20">
        <v>0</v>
      </c>
      <c r="H1336" s="20">
        <v>0</v>
      </c>
      <c r="I1336" s="21">
        <v>0</v>
      </c>
      <c r="J1336" s="21"/>
      <c r="K1336" s="21">
        <v>0</v>
      </c>
      <c r="L1336" s="21"/>
      <c r="M1336" s="20">
        <v>0</v>
      </c>
      <c r="N1336" s="20">
        <v>0</v>
      </c>
      <c r="O1336" s="20">
        <v>0</v>
      </c>
      <c r="P1336" s="22">
        <v>0</v>
      </c>
      <c r="Q1336" s="22">
        <v>0</v>
      </c>
    </row>
    <row r="1337" spans="1:17" ht="20.25" customHeight="1">
      <c r="A1337" s="23"/>
      <c r="B1337" s="24"/>
      <c r="C1337" s="24"/>
      <c r="D1337" s="24"/>
      <c r="E1337" s="23"/>
      <c r="F1337" s="23"/>
      <c r="G1337" s="23"/>
      <c r="H1337" s="23"/>
      <c r="I1337" s="24"/>
      <c r="J1337" s="24"/>
      <c r="K1337" s="24"/>
      <c r="L1337" s="24"/>
      <c r="M1337" s="23"/>
      <c r="N1337" s="23"/>
      <c r="O1337" s="23"/>
      <c r="P1337" s="23"/>
      <c r="Q1337" s="23"/>
    </row>
    <row r="1338" spans="1:17" ht="12.75" customHeight="1">
      <c r="A1338" s="10"/>
      <c r="B1338" s="11" t="s">
        <v>861</v>
      </c>
      <c r="C1338" s="11"/>
      <c r="D1338" s="11"/>
      <c r="E1338" s="12">
        <f>ROUND(20000,2)</f>
        <v>20000</v>
      </c>
      <c r="F1338" s="12">
        <f>ROUND(-20000,2)</f>
        <v>-20000</v>
      </c>
      <c r="G1338" s="12">
        <f aca="true" t="shared" si="799" ref="G1338:G1339">ROUND(0,2)</f>
        <v>0</v>
      </c>
      <c r="H1338" s="12">
        <f aca="true" t="shared" si="800" ref="H1338:H1339">ROUND(0,2)</f>
        <v>0</v>
      </c>
      <c r="I1338" s="13">
        <f aca="true" t="shared" si="801" ref="I1338:I1339">ROUND(0,2)</f>
        <v>0</v>
      </c>
      <c r="J1338" s="13"/>
      <c r="K1338" s="13">
        <f aca="true" t="shared" si="802" ref="K1338:K1339">ROUND(0,2)</f>
        <v>0</v>
      </c>
      <c r="L1338" s="13"/>
      <c r="M1338" s="12">
        <f aca="true" t="shared" si="803" ref="M1338:M1339">ROUND(0,2)</f>
        <v>0</v>
      </c>
      <c r="N1338" s="12">
        <f aca="true" t="shared" si="804" ref="N1338:N1339">ROUND(0,2)</f>
        <v>0</v>
      </c>
      <c r="O1338" s="12">
        <f aca="true" t="shared" si="805" ref="O1338:O1339">ROUND(0,2)</f>
        <v>0</v>
      </c>
      <c r="P1338" s="14">
        <v>0</v>
      </c>
      <c r="Q1338" s="14">
        <v>0</v>
      </c>
    </row>
    <row r="1339" spans="1:17" ht="12.75" customHeight="1">
      <c r="A1339" s="15" t="s">
        <v>862</v>
      </c>
      <c r="B1339" s="15"/>
      <c r="C1339" s="15"/>
      <c r="D1339" s="15"/>
      <c r="E1339" s="16" t="s">
        <v>860</v>
      </c>
      <c r="F1339" s="17">
        <f>ROUND(0,2)</f>
        <v>0</v>
      </c>
      <c r="G1339" s="17">
        <f t="shared" si="799"/>
        <v>0</v>
      </c>
      <c r="H1339" s="17">
        <f t="shared" si="800"/>
        <v>0</v>
      </c>
      <c r="I1339" s="17">
        <f t="shared" si="801"/>
        <v>0</v>
      </c>
      <c r="J1339" s="17"/>
      <c r="K1339" s="17">
        <f t="shared" si="802"/>
        <v>0</v>
      </c>
      <c r="L1339" s="17"/>
      <c r="M1339" s="17">
        <f t="shared" si="803"/>
        <v>0</v>
      </c>
      <c r="N1339" s="17">
        <f t="shared" si="804"/>
        <v>0</v>
      </c>
      <c r="O1339" s="17">
        <f t="shared" si="805"/>
        <v>0</v>
      </c>
      <c r="P1339" s="18">
        <v>0</v>
      </c>
      <c r="Q1339" s="18">
        <v>0</v>
      </c>
    </row>
    <row r="1340" spans="1:17" ht="12.75" customHeight="1">
      <c r="A1340" s="19" t="s">
        <v>37</v>
      </c>
      <c r="B1340" s="19"/>
      <c r="C1340" s="19"/>
      <c r="D1340" s="19"/>
      <c r="E1340" s="20">
        <f>SUM('DS1'!$A$347)</f>
        <v>20000</v>
      </c>
      <c r="F1340" s="20">
        <v>-20000</v>
      </c>
      <c r="G1340" s="20">
        <v>0</v>
      </c>
      <c r="H1340" s="20">
        <v>0</v>
      </c>
      <c r="I1340" s="21">
        <v>0</v>
      </c>
      <c r="J1340" s="21"/>
      <c r="K1340" s="21">
        <v>0</v>
      </c>
      <c r="L1340" s="21"/>
      <c r="M1340" s="20">
        <v>0</v>
      </c>
      <c r="N1340" s="20">
        <v>0</v>
      </c>
      <c r="O1340" s="20">
        <v>0</v>
      </c>
      <c r="P1340" s="22">
        <v>0</v>
      </c>
      <c r="Q1340" s="22">
        <v>0</v>
      </c>
    </row>
    <row r="1341" spans="1:17" ht="12.75" customHeight="1">
      <c r="A1341" s="23"/>
      <c r="B1341" s="24"/>
      <c r="C1341" s="24"/>
      <c r="D1341" s="24"/>
      <c r="E1341" s="23"/>
      <c r="F1341" s="20">
        <v>0</v>
      </c>
      <c r="G1341" s="20">
        <v>0</v>
      </c>
      <c r="H1341" s="20">
        <v>0</v>
      </c>
      <c r="I1341" s="21">
        <v>0</v>
      </c>
      <c r="J1341" s="21"/>
      <c r="K1341" s="21">
        <v>0</v>
      </c>
      <c r="L1341" s="21"/>
      <c r="M1341" s="20">
        <v>0</v>
      </c>
      <c r="N1341" s="20">
        <v>0</v>
      </c>
      <c r="O1341" s="20">
        <v>0</v>
      </c>
      <c r="P1341" s="22">
        <v>0</v>
      </c>
      <c r="Q1341" s="22">
        <v>0</v>
      </c>
    </row>
    <row r="1342" spans="1:17" ht="20.25" customHeight="1">
      <c r="A1342" s="23"/>
      <c r="B1342" s="24"/>
      <c r="C1342" s="24"/>
      <c r="D1342" s="24"/>
      <c r="E1342" s="23"/>
      <c r="F1342" s="23"/>
      <c r="G1342" s="23"/>
      <c r="H1342" s="23"/>
      <c r="I1342" s="24"/>
      <c r="J1342" s="24"/>
      <c r="K1342" s="24"/>
      <c r="L1342" s="24"/>
      <c r="M1342" s="23"/>
      <c r="N1342" s="23"/>
      <c r="O1342" s="23"/>
      <c r="P1342" s="23"/>
      <c r="Q1342" s="23"/>
    </row>
    <row r="1343" spans="1:17" ht="12.75" customHeight="1">
      <c r="A1343" s="10"/>
      <c r="B1343" s="11" t="s">
        <v>863</v>
      </c>
      <c r="C1343" s="11"/>
      <c r="D1343" s="11"/>
      <c r="E1343" s="12">
        <f>ROUND(65000,2)</f>
        <v>65000</v>
      </c>
      <c r="F1343" s="12">
        <f>ROUND(25000,2)</f>
        <v>25000</v>
      </c>
      <c r="G1343" s="12">
        <f>ROUND(90000,2)</f>
        <v>90000</v>
      </c>
      <c r="H1343" s="12">
        <f>ROUND(86380.23,2)</f>
        <v>86380.23</v>
      </c>
      <c r="I1343" s="13">
        <f>ROUND(86380.23,2)</f>
        <v>86380.23</v>
      </c>
      <c r="J1343" s="13"/>
      <c r="K1343" s="13">
        <f>ROUND(86380.23,2)</f>
        <v>86380.23</v>
      </c>
      <c r="L1343" s="13"/>
      <c r="M1343" s="12">
        <f>ROUND(86380.23,2)</f>
        <v>86380.23</v>
      </c>
      <c r="N1343" s="12">
        <f>ROUND(86380.23,2)</f>
        <v>86380.23</v>
      </c>
      <c r="O1343" s="12">
        <f>ROUND(3619.77,2)</f>
        <v>3619.77</v>
      </c>
      <c r="P1343" s="14">
        <v>4.021966666666667</v>
      </c>
      <c r="Q1343" s="14">
        <v>95.97803333333333</v>
      </c>
    </row>
    <row r="1344" spans="1:17" ht="12.75" customHeight="1">
      <c r="A1344" s="15" t="s">
        <v>864</v>
      </c>
      <c r="B1344" s="15"/>
      <c r="C1344" s="15"/>
      <c r="D1344" s="15"/>
      <c r="E1344" s="16" t="s">
        <v>865</v>
      </c>
      <c r="F1344" s="17">
        <f>ROUND(0,2)</f>
        <v>0</v>
      </c>
      <c r="G1344" s="17">
        <f>ROUND(0,2)</f>
        <v>0</v>
      </c>
      <c r="H1344" s="17">
        <f>ROUND(0,2)</f>
        <v>0</v>
      </c>
      <c r="I1344" s="17">
        <f>ROUND(0,2)</f>
        <v>0</v>
      </c>
      <c r="J1344" s="17"/>
      <c r="K1344" s="17">
        <f>ROUND(0,2)</f>
        <v>0</v>
      </c>
      <c r="L1344" s="17"/>
      <c r="M1344" s="17">
        <f>ROUND(0,2)</f>
        <v>0</v>
      </c>
      <c r="N1344" s="17">
        <f>ROUND(0,2)</f>
        <v>0</v>
      </c>
      <c r="O1344" s="17">
        <f>ROUND(3619.77,2)</f>
        <v>3619.77</v>
      </c>
      <c r="P1344" s="18">
        <v>95.97803333333333</v>
      </c>
      <c r="Q1344" s="18">
        <v>100</v>
      </c>
    </row>
    <row r="1345" spans="1:17" ht="12.75" customHeight="1">
      <c r="A1345" s="19" t="s">
        <v>461</v>
      </c>
      <c r="B1345" s="19"/>
      <c r="C1345" s="19"/>
      <c r="D1345" s="19"/>
      <c r="E1345" s="20">
        <f>SUM('DS1'!$A$348)</f>
        <v>65000</v>
      </c>
      <c r="F1345" s="20">
        <v>25000</v>
      </c>
      <c r="G1345" s="20">
        <v>90000</v>
      </c>
      <c r="H1345" s="20">
        <v>86380.23</v>
      </c>
      <c r="I1345" s="21">
        <v>86380.23</v>
      </c>
      <c r="J1345" s="21"/>
      <c r="K1345" s="21">
        <v>86380.23</v>
      </c>
      <c r="L1345" s="21"/>
      <c r="M1345" s="20">
        <v>86380.23</v>
      </c>
      <c r="N1345" s="20">
        <v>86380.23</v>
      </c>
      <c r="O1345" s="20">
        <v>3619.77</v>
      </c>
      <c r="P1345" s="22">
        <v>4.021966666666667</v>
      </c>
      <c r="Q1345" s="22">
        <v>95.97803333333333</v>
      </c>
    </row>
    <row r="1346" spans="1:17" ht="12.75" customHeight="1">
      <c r="A1346" s="23"/>
      <c r="B1346" s="24"/>
      <c r="C1346" s="24"/>
      <c r="D1346" s="24"/>
      <c r="E1346" s="23"/>
      <c r="F1346" s="20">
        <v>0</v>
      </c>
      <c r="G1346" s="20">
        <v>0</v>
      </c>
      <c r="H1346" s="20">
        <v>0</v>
      </c>
      <c r="I1346" s="21">
        <v>0</v>
      </c>
      <c r="J1346" s="21"/>
      <c r="K1346" s="21">
        <v>0</v>
      </c>
      <c r="L1346" s="21"/>
      <c r="M1346" s="20">
        <v>0</v>
      </c>
      <c r="N1346" s="20">
        <v>0</v>
      </c>
      <c r="O1346" s="20">
        <v>3619.770000000004</v>
      </c>
      <c r="P1346" s="22">
        <v>95.97803333333333</v>
      </c>
      <c r="Q1346" s="22">
        <v>100</v>
      </c>
    </row>
    <row r="1347" spans="1:17" ht="20.25" customHeight="1">
      <c r="A1347" s="23"/>
      <c r="B1347" s="24"/>
      <c r="C1347" s="24"/>
      <c r="D1347" s="24"/>
      <c r="E1347" s="23"/>
      <c r="F1347" s="23"/>
      <c r="G1347" s="23"/>
      <c r="H1347" s="23"/>
      <c r="I1347" s="24"/>
      <c r="J1347" s="24"/>
      <c r="K1347" s="24"/>
      <c r="L1347" s="24"/>
      <c r="M1347" s="23"/>
      <c r="N1347" s="23"/>
      <c r="O1347" s="23"/>
      <c r="P1347" s="23"/>
      <c r="Q1347" s="23"/>
    </row>
    <row r="1348" spans="1:17" ht="12.75" customHeight="1">
      <c r="A1348" s="10"/>
      <c r="B1348" s="11" t="s">
        <v>866</v>
      </c>
      <c r="C1348" s="11"/>
      <c r="D1348" s="11"/>
      <c r="E1348" s="12">
        <f>ROUND(35000,2)</f>
        <v>35000</v>
      </c>
      <c r="F1348" s="12">
        <f>ROUND(-35000,2)</f>
        <v>-35000</v>
      </c>
      <c r="G1348" s="12">
        <f aca="true" t="shared" si="806" ref="G1348:G1349">ROUND(0,2)</f>
        <v>0</v>
      </c>
      <c r="H1348" s="12">
        <f aca="true" t="shared" si="807" ref="H1348:H1349">ROUND(0,2)</f>
        <v>0</v>
      </c>
      <c r="I1348" s="13">
        <f aca="true" t="shared" si="808" ref="I1348:I1349">ROUND(0,2)</f>
        <v>0</v>
      </c>
      <c r="J1348" s="13"/>
      <c r="K1348" s="13">
        <f aca="true" t="shared" si="809" ref="K1348:K1349">ROUND(0,2)</f>
        <v>0</v>
      </c>
      <c r="L1348" s="13"/>
      <c r="M1348" s="12">
        <f aca="true" t="shared" si="810" ref="M1348:M1349">ROUND(0,2)</f>
        <v>0</v>
      </c>
      <c r="N1348" s="12">
        <f aca="true" t="shared" si="811" ref="N1348:N1349">ROUND(0,2)</f>
        <v>0</v>
      </c>
      <c r="O1348" s="12">
        <f aca="true" t="shared" si="812" ref="O1348:O1349">ROUND(0,2)</f>
        <v>0</v>
      </c>
      <c r="P1348" s="14">
        <v>0</v>
      </c>
      <c r="Q1348" s="14">
        <v>0</v>
      </c>
    </row>
    <row r="1349" spans="1:17" ht="12.75" customHeight="1">
      <c r="A1349" s="15" t="s">
        <v>867</v>
      </c>
      <c r="B1349" s="15"/>
      <c r="C1349" s="15"/>
      <c r="D1349" s="15"/>
      <c r="E1349" s="16" t="s">
        <v>868</v>
      </c>
      <c r="F1349" s="17">
        <f>ROUND(0,2)</f>
        <v>0</v>
      </c>
      <c r="G1349" s="17">
        <f t="shared" si="806"/>
        <v>0</v>
      </c>
      <c r="H1349" s="17">
        <f t="shared" si="807"/>
        <v>0</v>
      </c>
      <c r="I1349" s="17">
        <f t="shared" si="808"/>
        <v>0</v>
      </c>
      <c r="J1349" s="17"/>
      <c r="K1349" s="17">
        <f t="shared" si="809"/>
        <v>0</v>
      </c>
      <c r="L1349" s="17"/>
      <c r="M1349" s="17">
        <f t="shared" si="810"/>
        <v>0</v>
      </c>
      <c r="N1349" s="17">
        <f t="shared" si="811"/>
        <v>0</v>
      </c>
      <c r="O1349" s="17">
        <f t="shared" si="812"/>
        <v>0</v>
      </c>
      <c r="P1349" s="18">
        <v>0</v>
      </c>
      <c r="Q1349" s="18">
        <v>0</v>
      </c>
    </row>
    <row r="1350" spans="1:17" ht="12.75" customHeight="1">
      <c r="A1350" s="19" t="s">
        <v>106</v>
      </c>
      <c r="B1350" s="19"/>
      <c r="C1350" s="19"/>
      <c r="D1350" s="19"/>
      <c r="E1350" s="20">
        <f>SUM('DS1'!$A$349)</f>
        <v>35000</v>
      </c>
      <c r="F1350" s="20">
        <v>-35000</v>
      </c>
      <c r="G1350" s="20">
        <v>0</v>
      </c>
      <c r="H1350" s="20">
        <v>0</v>
      </c>
      <c r="I1350" s="21">
        <v>0</v>
      </c>
      <c r="J1350" s="21"/>
      <c r="K1350" s="21">
        <v>0</v>
      </c>
      <c r="L1350" s="21"/>
      <c r="M1350" s="20">
        <v>0</v>
      </c>
      <c r="N1350" s="20">
        <v>0</v>
      </c>
      <c r="O1350" s="20">
        <v>0</v>
      </c>
      <c r="P1350" s="22">
        <v>0</v>
      </c>
      <c r="Q1350" s="22">
        <v>0</v>
      </c>
    </row>
    <row r="1351" spans="1:17" ht="12.75" customHeight="1">
      <c r="A1351" s="23"/>
      <c r="B1351" s="24"/>
      <c r="C1351" s="24"/>
      <c r="D1351" s="24"/>
      <c r="E1351" s="23"/>
      <c r="F1351" s="20">
        <v>0</v>
      </c>
      <c r="G1351" s="20">
        <v>0</v>
      </c>
      <c r="H1351" s="20">
        <v>0</v>
      </c>
      <c r="I1351" s="21">
        <v>0</v>
      </c>
      <c r="J1351" s="21"/>
      <c r="K1351" s="21">
        <v>0</v>
      </c>
      <c r="L1351" s="21"/>
      <c r="M1351" s="20">
        <v>0</v>
      </c>
      <c r="N1351" s="20">
        <v>0</v>
      </c>
      <c r="O1351" s="20">
        <v>0</v>
      </c>
      <c r="P1351" s="22">
        <v>0</v>
      </c>
      <c r="Q1351" s="22">
        <v>0</v>
      </c>
    </row>
    <row r="1352" spans="1:17" ht="20.25" customHeight="1">
      <c r="A1352" s="23"/>
      <c r="B1352" s="24"/>
      <c r="C1352" s="24"/>
      <c r="D1352" s="24"/>
      <c r="E1352" s="23"/>
      <c r="F1352" s="23"/>
      <c r="G1352" s="23"/>
      <c r="H1352" s="23"/>
      <c r="I1352" s="24"/>
      <c r="J1352" s="24"/>
      <c r="K1352" s="24"/>
      <c r="L1352" s="24"/>
      <c r="M1352" s="23"/>
      <c r="N1352" s="23"/>
      <c r="O1352" s="23"/>
      <c r="P1352" s="23"/>
      <c r="Q1352" s="23"/>
    </row>
    <row r="1353" spans="1:17" ht="12.75" customHeight="1">
      <c r="A1353" s="19" t="s">
        <v>869</v>
      </c>
      <c r="B1353" s="19"/>
      <c r="C1353" s="19"/>
      <c r="D1353" s="19"/>
      <c r="E1353" s="20">
        <f>SUM('DS1'!$A$344:$A$349)</f>
        <v>162590.2</v>
      </c>
      <c r="F1353" s="20">
        <v>-34661.69</v>
      </c>
      <c r="G1353" s="20">
        <v>127928.51</v>
      </c>
      <c r="H1353" s="20">
        <v>121689.22</v>
      </c>
      <c r="I1353" s="21">
        <v>121689.22</v>
      </c>
      <c r="J1353" s="21"/>
      <c r="K1353" s="21">
        <v>121689.22</v>
      </c>
      <c r="L1353" s="21"/>
      <c r="M1353" s="20">
        <v>121689.22</v>
      </c>
      <c r="N1353" s="20">
        <v>121689.22</v>
      </c>
      <c r="O1353" s="20">
        <v>6239.29</v>
      </c>
      <c r="P1353" s="22">
        <v>4.877169287752981</v>
      </c>
      <c r="Q1353" s="22">
        <v>95.12283071224702</v>
      </c>
    </row>
    <row r="1354" spans="1:17" ht="12.75" customHeight="1">
      <c r="A1354" s="23"/>
      <c r="B1354" s="24"/>
      <c r="C1354" s="24"/>
      <c r="D1354" s="24"/>
      <c r="E1354" s="23"/>
      <c r="F1354" s="20">
        <v>0</v>
      </c>
      <c r="G1354" s="20">
        <v>0</v>
      </c>
      <c r="H1354" s="20">
        <v>0</v>
      </c>
      <c r="I1354" s="21">
        <v>0</v>
      </c>
      <c r="J1354" s="21"/>
      <c r="K1354" s="21">
        <v>0</v>
      </c>
      <c r="L1354" s="21"/>
      <c r="M1354" s="20">
        <v>0</v>
      </c>
      <c r="N1354" s="20">
        <v>0</v>
      </c>
      <c r="O1354" s="20">
        <v>6239.290000000001</v>
      </c>
      <c r="P1354" s="22">
        <v>95.12283071224702</v>
      </c>
      <c r="Q1354" s="22">
        <v>100</v>
      </c>
    </row>
    <row r="1355" spans="1:17" ht="18" customHeight="1">
      <c r="A1355" s="23"/>
      <c r="B1355" s="24"/>
      <c r="C1355" s="24"/>
      <c r="D1355" s="24"/>
      <c r="E1355" s="23"/>
      <c r="F1355" s="23"/>
      <c r="G1355" s="23"/>
      <c r="H1355" s="23"/>
      <c r="I1355" s="24"/>
      <c r="J1355" s="24"/>
      <c r="K1355" s="24"/>
      <c r="L1355" s="24"/>
      <c r="M1355" s="23"/>
      <c r="N1355" s="23"/>
      <c r="O1355" s="23"/>
      <c r="P1355" s="23"/>
      <c r="Q1355" s="23"/>
    </row>
    <row r="1356" spans="1:17" ht="12.75" customHeight="1">
      <c r="A1356" s="10"/>
      <c r="B1356" s="11" t="s">
        <v>870</v>
      </c>
      <c r="C1356" s="11"/>
      <c r="D1356" s="11"/>
      <c r="E1356" s="12">
        <f>ROUND(15000,2)</f>
        <v>15000</v>
      </c>
      <c r="F1356" s="12">
        <f>ROUND(-10000,2)</f>
        <v>-10000</v>
      </c>
      <c r="G1356" s="12">
        <f>ROUND(5000,2)</f>
        <v>5000</v>
      </c>
      <c r="H1356" s="12">
        <f>ROUND(695.5,2)</f>
        <v>695.5</v>
      </c>
      <c r="I1356" s="13">
        <f>ROUND(695.5,2)</f>
        <v>695.5</v>
      </c>
      <c r="J1356" s="13"/>
      <c r="K1356" s="13">
        <f>ROUND(695.5,2)</f>
        <v>695.5</v>
      </c>
      <c r="L1356" s="13"/>
      <c r="M1356" s="12">
        <f>ROUND(695.5,2)</f>
        <v>695.5</v>
      </c>
      <c r="N1356" s="12">
        <f>ROUND(695.5,2)</f>
        <v>695.5</v>
      </c>
      <c r="O1356" s="12">
        <f aca="true" t="shared" si="813" ref="O1356:O1357">ROUND(4304.5,2)</f>
        <v>4304.5</v>
      </c>
      <c r="P1356" s="14">
        <v>86.09</v>
      </c>
      <c r="Q1356" s="14">
        <v>13.91</v>
      </c>
    </row>
    <row r="1357" spans="1:17" ht="12.75" customHeight="1">
      <c r="A1357" s="15" t="s">
        <v>871</v>
      </c>
      <c r="B1357" s="15"/>
      <c r="C1357" s="15"/>
      <c r="D1357" s="15"/>
      <c r="E1357" s="16" t="s">
        <v>872</v>
      </c>
      <c r="F1357" s="17">
        <f>ROUND(0,2)</f>
        <v>0</v>
      </c>
      <c r="G1357" s="17">
        <f>ROUND(0,2)</f>
        <v>0</v>
      </c>
      <c r="H1357" s="17">
        <f>ROUND(0,2)</f>
        <v>0</v>
      </c>
      <c r="I1357" s="17">
        <f>ROUND(0,2)</f>
        <v>0</v>
      </c>
      <c r="J1357" s="17"/>
      <c r="K1357" s="17">
        <f>ROUND(0,2)</f>
        <v>0</v>
      </c>
      <c r="L1357" s="17"/>
      <c r="M1357" s="17">
        <f>ROUND(0,2)</f>
        <v>0</v>
      </c>
      <c r="N1357" s="17">
        <f>ROUND(0,2)</f>
        <v>0</v>
      </c>
      <c r="O1357" s="17">
        <f t="shared" si="813"/>
        <v>4304.5</v>
      </c>
      <c r="P1357" s="18">
        <v>4.636666666666667</v>
      </c>
      <c r="Q1357" s="18">
        <v>100</v>
      </c>
    </row>
    <row r="1358" spans="1:17" ht="12.75" customHeight="1">
      <c r="A1358" s="10" t="s">
        <v>83</v>
      </c>
      <c r="B1358" s="11" t="s">
        <v>873</v>
      </c>
      <c r="C1358" s="11"/>
      <c r="D1358" s="11"/>
      <c r="E1358" s="12">
        <f>ROUND(0,2)</f>
        <v>0</v>
      </c>
      <c r="F1358" s="12">
        <f aca="true" t="shared" si="814" ref="F1358:F1359">ROUND(9740.21,2)</f>
        <v>9740.21</v>
      </c>
      <c r="G1358" s="12">
        <f>ROUND(9740.21,2)</f>
        <v>9740.21</v>
      </c>
      <c r="H1358" s="12">
        <f>ROUND(9740.21,2)</f>
        <v>9740.21</v>
      </c>
      <c r="I1358" s="13">
        <f>ROUND(9740.21,2)</f>
        <v>9740.21</v>
      </c>
      <c r="J1358" s="13"/>
      <c r="K1358" s="13">
        <f>ROUND(9740.21,2)</f>
        <v>9740.21</v>
      </c>
      <c r="L1358" s="13"/>
      <c r="M1358" s="12">
        <f>ROUND(9740.21,2)</f>
        <v>9740.21</v>
      </c>
      <c r="N1358" s="12">
        <f>ROUND(9740.21,2)</f>
        <v>9740.21</v>
      </c>
      <c r="O1358" s="12">
        <f aca="true" t="shared" si="815" ref="O1358:O1359">ROUND(0,2)</f>
        <v>0</v>
      </c>
      <c r="P1358" s="14">
        <v>0</v>
      </c>
      <c r="Q1358" s="14">
        <v>100</v>
      </c>
    </row>
    <row r="1359" spans="1:17" ht="12.75" customHeight="1">
      <c r="A1359" s="15" t="s">
        <v>871</v>
      </c>
      <c r="B1359" s="15"/>
      <c r="C1359" s="15"/>
      <c r="D1359" s="15"/>
      <c r="E1359" s="16" t="s">
        <v>874</v>
      </c>
      <c r="F1359" s="17">
        <f t="shared" si="814"/>
        <v>9740.21</v>
      </c>
      <c r="G1359" s="17">
        <f>ROUND(0,2)</f>
        <v>0</v>
      </c>
      <c r="H1359" s="17">
        <f>ROUND(0,2)</f>
        <v>0</v>
      </c>
      <c r="I1359" s="17">
        <f>ROUND(0,2)</f>
        <v>0</v>
      </c>
      <c r="J1359" s="17"/>
      <c r="K1359" s="17">
        <f>ROUND(0,2)</f>
        <v>0</v>
      </c>
      <c r="L1359" s="17"/>
      <c r="M1359" s="17">
        <f>ROUND(0,2)</f>
        <v>0</v>
      </c>
      <c r="N1359" s="17">
        <f>ROUND(0,2)</f>
        <v>0</v>
      </c>
      <c r="O1359" s="17">
        <f t="shared" si="815"/>
        <v>0</v>
      </c>
      <c r="P1359" s="18">
        <v>100</v>
      </c>
      <c r="Q1359" s="18">
        <v>100</v>
      </c>
    </row>
    <row r="1360" spans="1:17" ht="12.75" customHeight="1">
      <c r="A1360" s="19" t="s">
        <v>76</v>
      </c>
      <c r="B1360" s="19"/>
      <c r="C1360" s="19"/>
      <c r="D1360" s="19"/>
      <c r="E1360" s="20">
        <f>SUM('DS1'!$A$350:$A$351)</f>
        <v>15000</v>
      </c>
      <c r="F1360" s="20">
        <v>-259.7900000000009</v>
      </c>
      <c r="G1360" s="20">
        <v>14740.21</v>
      </c>
      <c r="H1360" s="20">
        <v>10435.71</v>
      </c>
      <c r="I1360" s="21">
        <v>10435.71</v>
      </c>
      <c r="J1360" s="21"/>
      <c r="K1360" s="21">
        <v>10435.71</v>
      </c>
      <c r="L1360" s="21"/>
      <c r="M1360" s="20">
        <v>10435.71</v>
      </c>
      <c r="N1360" s="20">
        <v>10435.71</v>
      </c>
      <c r="O1360" s="20">
        <v>4304.5</v>
      </c>
      <c r="P1360" s="22">
        <v>29.20243334389402</v>
      </c>
      <c r="Q1360" s="22">
        <v>70.79756665610599</v>
      </c>
    </row>
    <row r="1361" spans="1:17" ht="12.75" customHeight="1">
      <c r="A1361" s="23"/>
      <c r="B1361" s="24"/>
      <c r="C1361" s="24"/>
      <c r="D1361" s="24"/>
      <c r="E1361" s="23"/>
      <c r="F1361" s="20">
        <v>9740.21</v>
      </c>
      <c r="G1361" s="20">
        <v>0</v>
      </c>
      <c r="H1361" s="20">
        <v>0</v>
      </c>
      <c r="I1361" s="21">
        <v>0</v>
      </c>
      <c r="J1361" s="21"/>
      <c r="K1361" s="21">
        <v>0</v>
      </c>
      <c r="L1361" s="21"/>
      <c r="M1361" s="20">
        <v>0</v>
      </c>
      <c r="N1361" s="20">
        <v>0</v>
      </c>
      <c r="O1361" s="20">
        <v>4304.5</v>
      </c>
      <c r="P1361" s="22">
        <v>70.79756665610599</v>
      </c>
      <c r="Q1361" s="22">
        <v>100</v>
      </c>
    </row>
    <row r="1362" spans="1:17" ht="20.25" customHeight="1">
      <c r="A1362" s="23"/>
      <c r="B1362" s="24"/>
      <c r="C1362" s="24"/>
      <c r="D1362" s="24"/>
      <c r="E1362" s="23"/>
      <c r="F1362" s="23"/>
      <c r="G1362" s="23"/>
      <c r="H1362" s="23"/>
      <c r="I1362" s="24"/>
      <c r="J1362" s="24"/>
      <c r="K1362" s="24"/>
      <c r="L1362" s="24"/>
      <c r="M1362" s="23"/>
      <c r="N1362" s="23"/>
      <c r="O1362" s="23"/>
      <c r="P1362" s="23"/>
      <c r="Q1362" s="23"/>
    </row>
    <row r="1363" spans="1:17" ht="12.75" customHeight="1">
      <c r="A1363" s="10"/>
      <c r="B1363" s="11" t="s">
        <v>875</v>
      </c>
      <c r="C1363" s="11"/>
      <c r="D1363" s="11"/>
      <c r="E1363" s="12">
        <f>ROUND(1200,2)</f>
        <v>1200</v>
      </c>
      <c r="F1363" s="12">
        <f aca="true" t="shared" si="816" ref="F1363:F1364">ROUND(0,2)</f>
        <v>0</v>
      </c>
      <c r="G1363" s="12">
        <f>ROUND(1200,2)</f>
        <v>1200</v>
      </c>
      <c r="H1363" s="12">
        <f>ROUND(1015.42,2)</f>
        <v>1015.42</v>
      </c>
      <c r="I1363" s="13">
        <f>ROUND(1015.42,2)</f>
        <v>1015.42</v>
      </c>
      <c r="J1363" s="13"/>
      <c r="K1363" s="13">
        <f>ROUND(1015.42,2)</f>
        <v>1015.42</v>
      </c>
      <c r="L1363" s="13"/>
      <c r="M1363" s="12">
        <f>ROUND(1015.42,2)</f>
        <v>1015.42</v>
      </c>
      <c r="N1363" s="12">
        <f>ROUND(1015.42,2)</f>
        <v>1015.42</v>
      </c>
      <c r="O1363" s="12">
        <f>ROUND(184.58,2)</f>
        <v>184.58</v>
      </c>
      <c r="P1363" s="14">
        <v>15.381666666666668</v>
      </c>
      <c r="Q1363" s="14">
        <v>84.61833333333333</v>
      </c>
    </row>
    <row r="1364" spans="1:17" ht="12.75" customHeight="1">
      <c r="A1364" s="15" t="s">
        <v>876</v>
      </c>
      <c r="B1364" s="15"/>
      <c r="C1364" s="15"/>
      <c r="D1364" s="15"/>
      <c r="E1364" s="16" t="s">
        <v>872</v>
      </c>
      <c r="F1364" s="17">
        <f t="shared" si="816"/>
        <v>0</v>
      </c>
      <c r="G1364" s="17">
        <f>ROUND(0,2)</f>
        <v>0</v>
      </c>
      <c r="H1364" s="17">
        <f>ROUND(0,2)</f>
        <v>0</v>
      </c>
      <c r="I1364" s="17">
        <f>ROUND(0,2)</f>
        <v>0</v>
      </c>
      <c r="J1364" s="17"/>
      <c r="K1364" s="17">
        <f>ROUND(0,2)</f>
        <v>0</v>
      </c>
      <c r="L1364" s="17"/>
      <c r="M1364" s="17">
        <f>ROUND(0,2)</f>
        <v>0</v>
      </c>
      <c r="N1364" s="17">
        <f>ROUND(0,2)</f>
        <v>0</v>
      </c>
      <c r="O1364" s="17">
        <f>ROUND(184.58,2)</f>
        <v>184.58</v>
      </c>
      <c r="P1364" s="18">
        <v>84.61833333333333</v>
      </c>
      <c r="Q1364" s="18">
        <v>100</v>
      </c>
    </row>
    <row r="1365" spans="1:17" ht="12.75" customHeight="1">
      <c r="A1365" s="19" t="s">
        <v>79</v>
      </c>
      <c r="B1365" s="19"/>
      <c r="C1365" s="19"/>
      <c r="D1365" s="19"/>
      <c r="E1365" s="20">
        <f>SUM('DS1'!$A$352)</f>
        <v>1200</v>
      </c>
      <c r="F1365" s="20">
        <v>0</v>
      </c>
      <c r="G1365" s="20">
        <v>1200</v>
      </c>
      <c r="H1365" s="20">
        <v>1015.42</v>
      </c>
      <c r="I1365" s="21">
        <v>1015.42</v>
      </c>
      <c r="J1365" s="21"/>
      <c r="K1365" s="21">
        <v>1015.42</v>
      </c>
      <c r="L1365" s="21"/>
      <c r="M1365" s="20">
        <v>1015.42</v>
      </c>
      <c r="N1365" s="20">
        <v>1015.42</v>
      </c>
      <c r="O1365" s="20">
        <v>184.58</v>
      </c>
      <c r="P1365" s="22">
        <v>15.381666666666668</v>
      </c>
      <c r="Q1365" s="22">
        <v>84.61833333333333</v>
      </c>
    </row>
    <row r="1366" spans="1:17" ht="12.75" customHeight="1">
      <c r="A1366" s="23"/>
      <c r="B1366" s="24"/>
      <c r="C1366" s="24"/>
      <c r="D1366" s="24"/>
      <c r="E1366" s="23"/>
      <c r="F1366" s="20">
        <v>0</v>
      </c>
      <c r="G1366" s="20">
        <v>0</v>
      </c>
      <c r="H1366" s="20">
        <v>0</v>
      </c>
      <c r="I1366" s="21">
        <v>0</v>
      </c>
      <c r="J1366" s="21"/>
      <c r="K1366" s="21">
        <v>0</v>
      </c>
      <c r="L1366" s="21"/>
      <c r="M1366" s="20">
        <v>0</v>
      </c>
      <c r="N1366" s="20">
        <v>0</v>
      </c>
      <c r="O1366" s="20">
        <v>184.58000000000004</v>
      </c>
      <c r="P1366" s="22">
        <v>84.61833333333333</v>
      </c>
      <c r="Q1366" s="22">
        <v>100</v>
      </c>
    </row>
    <row r="1367" spans="1:17" ht="20.25" customHeight="1">
      <c r="A1367" s="23"/>
      <c r="B1367" s="24"/>
      <c r="C1367" s="24"/>
      <c r="D1367" s="24"/>
      <c r="E1367" s="23"/>
      <c r="F1367" s="23"/>
      <c r="G1367" s="23"/>
      <c r="H1367" s="23"/>
      <c r="I1367" s="24"/>
      <c r="J1367" s="24"/>
      <c r="K1367" s="24"/>
      <c r="L1367" s="24"/>
      <c r="M1367" s="23"/>
      <c r="N1367" s="23"/>
      <c r="O1367" s="23"/>
      <c r="P1367" s="23"/>
      <c r="Q1367" s="23"/>
    </row>
    <row r="1368" spans="1:17" ht="12.75" customHeight="1">
      <c r="A1368" s="10"/>
      <c r="B1368" s="11" t="s">
        <v>877</v>
      </c>
      <c r="C1368" s="11"/>
      <c r="D1368" s="11"/>
      <c r="E1368" s="12">
        <f>ROUND(5000,2)</f>
        <v>5000</v>
      </c>
      <c r="F1368" s="12">
        <f aca="true" t="shared" si="817" ref="F1368:F1369">ROUND(0,2)</f>
        <v>0</v>
      </c>
      <c r="G1368" s="12">
        <f>ROUND(5000,2)</f>
        <v>5000</v>
      </c>
      <c r="H1368" s="12">
        <f>ROUND(1480.45,2)</f>
        <v>1480.45</v>
      </c>
      <c r="I1368" s="13">
        <f>ROUND(1480.45,2)</f>
        <v>1480.45</v>
      </c>
      <c r="J1368" s="13"/>
      <c r="K1368" s="13">
        <f>ROUND(1480.45,2)</f>
        <v>1480.45</v>
      </c>
      <c r="L1368" s="13"/>
      <c r="M1368" s="12">
        <f>ROUND(1480.45,2)</f>
        <v>1480.45</v>
      </c>
      <c r="N1368" s="12">
        <f>ROUND(1480.45,2)</f>
        <v>1480.45</v>
      </c>
      <c r="O1368" s="12">
        <f aca="true" t="shared" si="818" ref="O1368:O1369">ROUND(3519.55,2)</f>
        <v>3519.55</v>
      </c>
      <c r="P1368" s="14">
        <v>70.391</v>
      </c>
      <c r="Q1368" s="14">
        <v>29.609</v>
      </c>
    </row>
    <row r="1369" spans="1:17" ht="12.75" customHeight="1">
      <c r="A1369" s="15" t="s">
        <v>878</v>
      </c>
      <c r="B1369" s="15"/>
      <c r="C1369" s="15"/>
      <c r="D1369" s="15"/>
      <c r="E1369" s="16" t="s">
        <v>860</v>
      </c>
      <c r="F1369" s="17">
        <f t="shared" si="817"/>
        <v>0</v>
      </c>
      <c r="G1369" s="17">
        <f>ROUND(0,2)</f>
        <v>0</v>
      </c>
      <c r="H1369" s="17">
        <f>ROUND(0,2)</f>
        <v>0</v>
      </c>
      <c r="I1369" s="17">
        <f>ROUND(0,2)</f>
        <v>0</v>
      </c>
      <c r="J1369" s="17"/>
      <c r="K1369" s="17">
        <f>ROUND(0,2)</f>
        <v>0</v>
      </c>
      <c r="L1369" s="17"/>
      <c r="M1369" s="17">
        <f>ROUND(0,2)</f>
        <v>0</v>
      </c>
      <c r="N1369" s="17">
        <f>ROUND(0,2)</f>
        <v>0</v>
      </c>
      <c r="O1369" s="17">
        <f t="shared" si="818"/>
        <v>3519.55</v>
      </c>
      <c r="P1369" s="18">
        <v>29.609</v>
      </c>
      <c r="Q1369" s="18">
        <v>100</v>
      </c>
    </row>
    <row r="1370" spans="1:17" ht="12.75" customHeight="1">
      <c r="A1370" s="19" t="s">
        <v>92</v>
      </c>
      <c r="B1370" s="19"/>
      <c r="C1370" s="19"/>
      <c r="D1370" s="19"/>
      <c r="E1370" s="20">
        <f>SUM('DS1'!$A$353)</f>
        <v>5000</v>
      </c>
      <c r="F1370" s="20">
        <v>0</v>
      </c>
      <c r="G1370" s="20">
        <v>5000</v>
      </c>
      <c r="H1370" s="20">
        <v>1480.45</v>
      </c>
      <c r="I1370" s="21">
        <v>1480.45</v>
      </c>
      <c r="J1370" s="21"/>
      <c r="K1370" s="21">
        <v>1480.45</v>
      </c>
      <c r="L1370" s="21"/>
      <c r="M1370" s="20">
        <v>1480.45</v>
      </c>
      <c r="N1370" s="20">
        <v>1480.45</v>
      </c>
      <c r="O1370" s="20">
        <v>3519.55</v>
      </c>
      <c r="P1370" s="22">
        <v>70.391</v>
      </c>
      <c r="Q1370" s="22">
        <v>29.609</v>
      </c>
    </row>
    <row r="1371" spans="1:17" ht="12.75" customHeight="1">
      <c r="A1371" s="23"/>
      <c r="B1371" s="24"/>
      <c r="C1371" s="24"/>
      <c r="D1371" s="24"/>
      <c r="E1371" s="23"/>
      <c r="F1371" s="20">
        <v>0</v>
      </c>
      <c r="G1371" s="20">
        <v>0</v>
      </c>
      <c r="H1371" s="20">
        <v>0</v>
      </c>
      <c r="I1371" s="21">
        <v>0</v>
      </c>
      <c r="J1371" s="21"/>
      <c r="K1371" s="21">
        <v>0</v>
      </c>
      <c r="L1371" s="21"/>
      <c r="M1371" s="20">
        <v>0</v>
      </c>
      <c r="N1371" s="20">
        <v>0</v>
      </c>
      <c r="O1371" s="20">
        <v>3519.55</v>
      </c>
      <c r="P1371" s="22">
        <v>29.609</v>
      </c>
      <c r="Q1371" s="22">
        <v>100</v>
      </c>
    </row>
    <row r="1372" spans="1:17" ht="20.25" customHeight="1">
      <c r="A1372" s="23"/>
      <c r="B1372" s="24"/>
      <c r="C1372" s="24"/>
      <c r="D1372" s="24"/>
      <c r="E1372" s="23"/>
      <c r="F1372" s="23"/>
      <c r="G1372" s="23"/>
      <c r="H1372" s="23"/>
      <c r="I1372" s="24"/>
      <c r="J1372" s="24"/>
      <c r="K1372" s="24"/>
      <c r="L1372" s="24"/>
      <c r="M1372" s="23"/>
      <c r="N1372" s="23"/>
      <c r="O1372" s="23"/>
      <c r="P1372" s="23"/>
      <c r="Q1372" s="23"/>
    </row>
    <row r="1373" spans="1:17" ht="12.75" customHeight="1">
      <c r="A1373" s="10"/>
      <c r="B1373" s="11" t="s">
        <v>879</v>
      </c>
      <c r="C1373" s="11"/>
      <c r="D1373" s="11"/>
      <c r="E1373" s="12">
        <f>ROUND(156620,2)</f>
        <v>156620</v>
      </c>
      <c r="F1373" s="12">
        <f>ROUND(-140.2,2)</f>
        <v>-140.2</v>
      </c>
      <c r="G1373" s="12">
        <f>ROUND(156479.8,2)</f>
        <v>156479.8</v>
      </c>
      <c r="H1373" s="12">
        <f>ROUND(87649.05,2)</f>
        <v>87649.05</v>
      </c>
      <c r="I1373" s="13">
        <f>ROUND(87649.05,2)</f>
        <v>87649.05</v>
      </c>
      <c r="J1373" s="13"/>
      <c r="K1373" s="13">
        <f>ROUND(20830.22,2)</f>
        <v>20830.22</v>
      </c>
      <c r="L1373" s="13"/>
      <c r="M1373" s="12">
        <f aca="true" t="shared" si="819" ref="M1373:M1374">ROUND(20830.22,2)</f>
        <v>20830.22</v>
      </c>
      <c r="N1373" s="12">
        <f aca="true" t="shared" si="820" ref="N1373:N1374">ROUND(0,2)</f>
        <v>0</v>
      </c>
      <c r="O1373" s="12">
        <f>ROUND(21580.75,2)</f>
        <v>21580.75</v>
      </c>
      <c r="P1373" s="14">
        <v>13.791396717020346</v>
      </c>
      <c r="Q1373" s="14">
        <v>13.311762924032369</v>
      </c>
    </row>
    <row r="1374" spans="1:17" ht="12.75" customHeight="1">
      <c r="A1374" s="15" t="s">
        <v>880</v>
      </c>
      <c r="B1374" s="15"/>
      <c r="C1374" s="15"/>
      <c r="D1374" s="15"/>
      <c r="E1374" s="16" t="s">
        <v>860</v>
      </c>
      <c r="F1374" s="17">
        <f>ROUND(0,2)</f>
        <v>0</v>
      </c>
      <c r="G1374" s="17">
        <f>ROUND(47250,2)</f>
        <v>47250</v>
      </c>
      <c r="H1374" s="17">
        <f>ROUND(0,2)</f>
        <v>0</v>
      </c>
      <c r="I1374" s="17">
        <f>ROUND(66818.83,2)</f>
        <v>66818.83</v>
      </c>
      <c r="J1374" s="17"/>
      <c r="K1374" s="17">
        <f>ROUND(0,2)</f>
        <v>0</v>
      </c>
      <c r="L1374" s="17"/>
      <c r="M1374" s="17">
        <f t="shared" si="819"/>
        <v>20830.22</v>
      </c>
      <c r="N1374" s="17">
        <f t="shared" si="820"/>
        <v>0</v>
      </c>
      <c r="O1374" s="17">
        <f>ROUND(135649.58,2)</f>
        <v>135649.58</v>
      </c>
      <c r="P1374" s="18">
        <v>55.96287191929511</v>
      </c>
      <c r="Q1374" s="18">
        <v>0</v>
      </c>
    </row>
    <row r="1375" spans="1:17" ht="12.75" customHeight="1">
      <c r="A1375" s="10"/>
      <c r="B1375" s="11" t="s">
        <v>881</v>
      </c>
      <c r="C1375" s="11"/>
      <c r="D1375" s="11"/>
      <c r="E1375" s="12">
        <f>ROUND(20000,2)</f>
        <v>20000</v>
      </c>
      <c r="F1375" s="12">
        <f>ROUND(-10000,2)</f>
        <v>-10000</v>
      </c>
      <c r="G1375" s="12">
        <f>ROUND(10000,2)</f>
        <v>10000</v>
      </c>
      <c r="H1375" s="12">
        <f>ROUND(5378.39,2)</f>
        <v>5378.39</v>
      </c>
      <c r="I1375" s="13">
        <f>ROUND(5378.39,2)</f>
        <v>5378.39</v>
      </c>
      <c r="J1375" s="13"/>
      <c r="K1375" s="13">
        <f>ROUND(263.79,2)</f>
        <v>263.79</v>
      </c>
      <c r="L1375" s="13"/>
      <c r="M1375" s="12">
        <f>ROUND(263.79,2)</f>
        <v>263.79</v>
      </c>
      <c r="N1375" s="12">
        <f>ROUND(263.79,2)</f>
        <v>263.79</v>
      </c>
      <c r="O1375" s="12">
        <f>ROUND(4621.61,2)</f>
        <v>4621.61</v>
      </c>
      <c r="P1375" s="14">
        <v>46.2161</v>
      </c>
      <c r="Q1375" s="14">
        <v>2.6379</v>
      </c>
    </row>
    <row r="1376" spans="1:17" ht="12.75" customHeight="1">
      <c r="A1376" s="15" t="s">
        <v>882</v>
      </c>
      <c r="B1376" s="15"/>
      <c r="C1376" s="15"/>
      <c r="D1376" s="15"/>
      <c r="E1376" s="16" t="s">
        <v>860</v>
      </c>
      <c r="F1376" s="17">
        <f>ROUND(0,2)</f>
        <v>0</v>
      </c>
      <c r="G1376" s="17">
        <f>ROUND(0,2)</f>
        <v>0</v>
      </c>
      <c r="H1376" s="17">
        <f>ROUND(0,2)</f>
        <v>0</v>
      </c>
      <c r="I1376" s="17">
        <f>ROUND(5114.6,2)</f>
        <v>5114.6</v>
      </c>
      <c r="J1376" s="17"/>
      <c r="K1376" s="17">
        <f>ROUND(0,2)</f>
        <v>0</v>
      </c>
      <c r="L1376" s="17"/>
      <c r="M1376" s="17">
        <f>ROUND(0,2)</f>
        <v>0</v>
      </c>
      <c r="N1376" s="17">
        <f>ROUND(0,2)</f>
        <v>0</v>
      </c>
      <c r="O1376" s="17">
        <f>ROUND(9736.21,2)</f>
        <v>9736.21</v>
      </c>
      <c r="P1376" s="18">
        <v>26.891950000000005</v>
      </c>
      <c r="Q1376" s="18">
        <v>100</v>
      </c>
    </row>
    <row r="1377" spans="1:17" ht="12.75" customHeight="1">
      <c r="A1377" s="19" t="s">
        <v>37</v>
      </c>
      <c r="B1377" s="19"/>
      <c r="C1377" s="19"/>
      <c r="D1377" s="19"/>
      <c r="E1377" s="20">
        <f>SUM('DS1'!$A$354:$A$355)</f>
        <v>176620</v>
      </c>
      <c r="F1377" s="20">
        <v>-10140.2</v>
      </c>
      <c r="G1377" s="20">
        <v>166479.8</v>
      </c>
      <c r="H1377" s="20">
        <v>93027.44</v>
      </c>
      <c r="I1377" s="21">
        <v>93027.44</v>
      </c>
      <c r="J1377" s="21"/>
      <c r="K1377" s="21">
        <v>21094.01</v>
      </c>
      <c r="L1377" s="21"/>
      <c r="M1377" s="20">
        <v>21094.01</v>
      </c>
      <c r="N1377" s="20">
        <v>263.79</v>
      </c>
      <c r="O1377" s="20">
        <v>26202.36</v>
      </c>
      <c r="P1377" s="22">
        <v>15.739062637028638</v>
      </c>
      <c r="Q1377" s="22">
        <v>12.670612290500108</v>
      </c>
    </row>
    <row r="1378" spans="1:17" ht="12.75" customHeight="1">
      <c r="A1378" s="23"/>
      <c r="B1378" s="24"/>
      <c r="C1378" s="24"/>
      <c r="D1378" s="24"/>
      <c r="E1378" s="23"/>
      <c r="F1378" s="20">
        <v>0</v>
      </c>
      <c r="G1378" s="20">
        <v>47249.999999999985</v>
      </c>
      <c r="H1378" s="20">
        <v>0</v>
      </c>
      <c r="I1378" s="21">
        <v>71933.43000000001</v>
      </c>
      <c r="J1378" s="21"/>
      <c r="K1378" s="21">
        <v>0</v>
      </c>
      <c r="L1378" s="21"/>
      <c r="M1378" s="20">
        <v>20830.22</v>
      </c>
      <c r="N1378" s="20">
        <v>0</v>
      </c>
      <c r="O1378" s="20">
        <v>145385.78999999998</v>
      </c>
      <c r="P1378" s="22">
        <v>55.879115664483024</v>
      </c>
      <c r="Q1378" s="22">
        <v>1.2505445858800674</v>
      </c>
    </row>
    <row r="1379" spans="1:17" ht="20.25" customHeight="1">
      <c r="A1379" s="23"/>
      <c r="B1379" s="24"/>
      <c r="C1379" s="24"/>
      <c r="D1379" s="24"/>
      <c r="E1379" s="23"/>
      <c r="F1379" s="23"/>
      <c r="G1379" s="23"/>
      <c r="H1379" s="23"/>
      <c r="I1379" s="24"/>
      <c r="J1379" s="24"/>
      <c r="K1379" s="24"/>
      <c r="L1379" s="24"/>
      <c r="M1379" s="23"/>
      <c r="N1379" s="23"/>
      <c r="O1379" s="23"/>
      <c r="P1379" s="23"/>
      <c r="Q1379" s="23"/>
    </row>
    <row r="1380" spans="1:17" ht="12.75" customHeight="1">
      <c r="A1380" s="10" t="s">
        <v>83</v>
      </c>
      <c r="B1380" s="11" t="s">
        <v>883</v>
      </c>
      <c r="C1380" s="11"/>
      <c r="D1380" s="11"/>
      <c r="E1380" s="12">
        <f>ROUND(0,2)</f>
        <v>0</v>
      </c>
      <c r="F1380" s="12">
        <f aca="true" t="shared" si="821" ref="F1380:F1381">ROUND(15391.95,2)</f>
        <v>15391.95</v>
      </c>
      <c r="G1380" s="12">
        <f>ROUND(15391.95,2)</f>
        <v>15391.95</v>
      </c>
      <c r="H1380" s="12">
        <f>ROUND(15294.37,2)</f>
        <v>15294.37</v>
      </c>
      <c r="I1380" s="13">
        <f>ROUND(15294.37,2)</f>
        <v>15294.37</v>
      </c>
      <c r="J1380" s="13"/>
      <c r="K1380" s="13">
        <f>ROUND(5299.5,2)</f>
        <v>5299.5</v>
      </c>
      <c r="L1380" s="13"/>
      <c r="M1380" s="12">
        <f>ROUND(5299.5,2)</f>
        <v>5299.5</v>
      </c>
      <c r="N1380" s="12">
        <f>ROUND(5299.5,2)</f>
        <v>5299.5</v>
      </c>
      <c r="O1380" s="12">
        <f>ROUND(97.58,2)</f>
        <v>97.58</v>
      </c>
      <c r="P1380" s="14">
        <v>0.6339677558723879</v>
      </c>
      <c r="Q1380" s="14">
        <v>34.43033533762778</v>
      </c>
    </row>
    <row r="1381" spans="1:17" ht="12.75" customHeight="1">
      <c r="A1381" s="15" t="s">
        <v>884</v>
      </c>
      <c r="B1381" s="15"/>
      <c r="C1381" s="15"/>
      <c r="D1381" s="15"/>
      <c r="E1381" s="16" t="s">
        <v>885</v>
      </c>
      <c r="F1381" s="17">
        <f t="shared" si="821"/>
        <v>15391.95</v>
      </c>
      <c r="G1381" s="17">
        <f>ROUND(0,2)</f>
        <v>0</v>
      </c>
      <c r="H1381" s="17">
        <f>ROUND(0,2)</f>
        <v>0</v>
      </c>
      <c r="I1381" s="17">
        <f>ROUND(9994.87,2)</f>
        <v>9994.87</v>
      </c>
      <c r="J1381" s="17"/>
      <c r="K1381" s="17">
        <f>ROUND(0,2)</f>
        <v>0</v>
      </c>
      <c r="L1381" s="17"/>
      <c r="M1381" s="17">
        <f>ROUND(0,2)</f>
        <v>0</v>
      </c>
      <c r="N1381" s="17">
        <f>ROUND(0,2)</f>
        <v>0</v>
      </c>
      <c r="O1381" s="17">
        <f>ROUND(10092.45,2)</f>
        <v>10092.45</v>
      </c>
      <c r="P1381" s="18">
        <v>99.36603224412761</v>
      </c>
      <c r="Q1381" s="18">
        <v>100</v>
      </c>
    </row>
    <row r="1382" spans="1:17" ht="12.75" customHeight="1">
      <c r="A1382" s="19" t="s">
        <v>106</v>
      </c>
      <c r="B1382" s="19"/>
      <c r="C1382" s="19"/>
      <c r="D1382" s="19"/>
      <c r="E1382" s="20">
        <f>SUM('DS1'!$A$356)</f>
        <v>0</v>
      </c>
      <c r="F1382" s="20">
        <v>15391.95</v>
      </c>
      <c r="G1382" s="20">
        <v>15391.95</v>
      </c>
      <c r="H1382" s="20">
        <v>15294.37</v>
      </c>
      <c r="I1382" s="21">
        <v>15294.37</v>
      </c>
      <c r="J1382" s="21"/>
      <c r="K1382" s="21">
        <v>5299.5</v>
      </c>
      <c r="L1382" s="21"/>
      <c r="M1382" s="20">
        <v>5299.5</v>
      </c>
      <c r="N1382" s="20">
        <v>5299.5</v>
      </c>
      <c r="O1382" s="20">
        <v>97.58</v>
      </c>
      <c r="P1382" s="22">
        <v>0.6339677558723879</v>
      </c>
      <c r="Q1382" s="22">
        <v>34.43033533762778</v>
      </c>
    </row>
    <row r="1383" spans="1:17" ht="12.75" customHeight="1">
      <c r="A1383" s="23"/>
      <c r="B1383" s="24"/>
      <c r="C1383" s="24"/>
      <c r="D1383" s="24"/>
      <c r="E1383" s="23"/>
      <c r="F1383" s="20">
        <v>15391.95</v>
      </c>
      <c r="G1383" s="20">
        <v>0</v>
      </c>
      <c r="H1383" s="20">
        <v>0</v>
      </c>
      <c r="I1383" s="21">
        <v>9994.87</v>
      </c>
      <c r="J1383" s="21"/>
      <c r="K1383" s="21">
        <v>0</v>
      </c>
      <c r="L1383" s="21"/>
      <c r="M1383" s="20">
        <v>0</v>
      </c>
      <c r="N1383" s="20">
        <v>0</v>
      </c>
      <c r="O1383" s="20">
        <v>10092.45</v>
      </c>
      <c r="P1383" s="22">
        <v>99.36603224412761</v>
      </c>
      <c r="Q1383" s="22">
        <v>100</v>
      </c>
    </row>
    <row r="1384" spans="1:17" ht="20.25" customHeight="1">
      <c r="A1384" s="23"/>
      <c r="B1384" s="24"/>
      <c r="C1384" s="24"/>
      <c r="D1384" s="24"/>
      <c r="E1384" s="23"/>
      <c r="F1384" s="23"/>
      <c r="G1384" s="23"/>
      <c r="H1384" s="23"/>
      <c r="I1384" s="24"/>
      <c r="J1384" s="24"/>
      <c r="K1384" s="24"/>
      <c r="L1384" s="24"/>
      <c r="M1384" s="23"/>
      <c r="N1384" s="23"/>
      <c r="O1384" s="23"/>
      <c r="P1384" s="23"/>
      <c r="Q1384" s="23"/>
    </row>
    <row r="1385" spans="1:17" ht="12.75" customHeight="1">
      <c r="A1385" s="10" t="s">
        <v>83</v>
      </c>
      <c r="B1385" s="11" t="s">
        <v>886</v>
      </c>
      <c r="C1385" s="11"/>
      <c r="D1385" s="11"/>
      <c r="E1385" s="12">
        <f>ROUND(0,2)</f>
        <v>0</v>
      </c>
      <c r="F1385" s="12">
        <f aca="true" t="shared" si="822" ref="F1385:F1386">ROUND(5977.02,2)</f>
        <v>5977.02</v>
      </c>
      <c r="G1385" s="12">
        <f>ROUND(5977.02,2)</f>
        <v>5977.02</v>
      </c>
      <c r="H1385" s="12">
        <f>ROUND(5970.6,2)</f>
        <v>5970.6</v>
      </c>
      <c r="I1385" s="13">
        <f aca="true" t="shared" si="823" ref="I1385:I1386">ROUND(5970.6,2)</f>
        <v>5970.6</v>
      </c>
      <c r="J1385" s="13"/>
      <c r="K1385" s="13">
        <f aca="true" t="shared" si="824" ref="K1385:K1386">ROUND(0,2)</f>
        <v>0</v>
      </c>
      <c r="L1385" s="13"/>
      <c r="M1385" s="12">
        <f aca="true" t="shared" si="825" ref="M1385:M1386">ROUND(0,2)</f>
        <v>0</v>
      </c>
      <c r="N1385" s="12">
        <f aca="true" t="shared" si="826" ref="N1385:N1386">ROUND(0,2)</f>
        <v>0</v>
      </c>
      <c r="O1385" s="12">
        <f>ROUND(6.42,2)</f>
        <v>6.42</v>
      </c>
      <c r="P1385" s="14">
        <v>0.10741138560687433</v>
      </c>
      <c r="Q1385" s="14">
        <v>0</v>
      </c>
    </row>
    <row r="1386" spans="1:17" ht="12.75" customHeight="1">
      <c r="A1386" s="15" t="s">
        <v>887</v>
      </c>
      <c r="B1386" s="15"/>
      <c r="C1386" s="15"/>
      <c r="D1386" s="15"/>
      <c r="E1386" s="16" t="s">
        <v>888</v>
      </c>
      <c r="F1386" s="17">
        <f t="shared" si="822"/>
        <v>5977.02</v>
      </c>
      <c r="G1386" s="17">
        <f>ROUND(0,2)</f>
        <v>0</v>
      </c>
      <c r="H1386" s="17">
        <f>ROUND(0,2)</f>
        <v>0</v>
      </c>
      <c r="I1386" s="17">
        <f t="shared" si="823"/>
        <v>5970.6</v>
      </c>
      <c r="J1386" s="17"/>
      <c r="K1386" s="17">
        <f t="shared" si="824"/>
        <v>0</v>
      </c>
      <c r="L1386" s="17"/>
      <c r="M1386" s="17">
        <f t="shared" si="825"/>
        <v>0</v>
      </c>
      <c r="N1386" s="17">
        <f t="shared" si="826"/>
        <v>0</v>
      </c>
      <c r="O1386" s="17">
        <f>ROUND(5977.02,2)</f>
        <v>5977.02</v>
      </c>
      <c r="P1386" s="18">
        <v>99.89258861439313</v>
      </c>
      <c r="Q1386" s="18">
        <v>0</v>
      </c>
    </row>
    <row r="1387" spans="1:17" ht="12.75" customHeight="1">
      <c r="A1387" s="19" t="s">
        <v>316</v>
      </c>
      <c r="B1387" s="19"/>
      <c r="C1387" s="19"/>
      <c r="D1387" s="19"/>
      <c r="E1387" s="20">
        <f>SUM('DS1'!$A$357)</f>
        <v>0</v>
      </c>
      <c r="F1387" s="20">
        <v>5977.02</v>
      </c>
      <c r="G1387" s="20">
        <v>5977.02</v>
      </c>
      <c r="H1387" s="20">
        <v>5970.6</v>
      </c>
      <c r="I1387" s="21">
        <v>5970.6</v>
      </c>
      <c r="J1387" s="21"/>
      <c r="K1387" s="21">
        <v>0</v>
      </c>
      <c r="L1387" s="21"/>
      <c r="M1387" s="20">
        <v>0</v>
      </c>
      <c r="N1387" s="20">
        <v>0</v>
      </c>
      <c r="O1387" s="20">
        <v>6.42</v>
      </c>
      <c r="P1387" s="22">
        <v>0.10741138560687433</v>
      </c>
      <c r="Q1387" s="22">
        <v>0</v>
      </c>
    </row>
    <row r="1388" spans="1:17" ht="12.75" customHeight="1">
      <c r="A1388" s="23"/>
      <c r="B1388" s="24"/>
      <c r="C1388" s="24"/>
      <c r="D1388" s="24"/>
      <c r="E1388" s="23"/>
      <c r="F1388" s="20">
        <v>5977.02</v>
      </c>
      <c r="G1388" s="20">
        <v>0</v>
      </c>
      <c r="H1388" s="20">
        <v>0</v>
      </c>
      <c r="I1388" s="21">
        <v>5970.6</v>
      </c>
      <c r="J1388" s="21"/>
      <c r="K1388" s="21">
        <v>0</v>
      </c>
      <c r="L1388" s="21"/>
      <c r="M1388" s="20">
        <v>0</v>
      </c>
      <c r="N1388" s="20">
        <v>0</v>
      </c>
      <c r="O1388" s="20">
        <v>5977.02</v>
      </c>
      <c r="P1388" s="22">
        <v>99.89258861439313</v>
      </c>
      <c r="Q1388" s="22">
        <v>0</v>
      </c>
    </row>
    <row r="1389" spans="1:17" ht="20.25" customHeight="1">
      <c r="A1389" s="23"/>
      <c r="B1389" s="24"/>
      <c r="C1389" s="24"/>
      <c r="D1389" s="24"/>
      <c r="E1389" s="23"/>
      <c r="F1389" s="23"/>
      <c r="G1389" s="23"/>
      <c r="H1389" s="23"/>
      <c r="I1389" s="24"/>
      <c r="J1389" s="24"/>
      <c r="K1389" s="24"/>
      <c r="L1389" s="24"/>
      <c r="M1389" s="23"/>
      <c r="N1389" s="23"/>
      <c r="O1389" s="23"/>
      <c r="P1389" s="23"/>
      <c r="Q1389" s="23"/>
    </row>
    <row r="1390" spans="1:17" ht="12.75" customHeight="1">
      <c r="A1390" s="10" t="s">
        <v>83</v>
      </c>
      <c r="B1390" s="11" t="s">
        <v>889</v>
      </c>
      <c r="C1390" s="11"/>
      <c r="D1390" s="11"/>
      <c r="E1390" s="12">
        <f>ROUND(0,2)</f>
        <v>0</v>
      </c>
      <c r="F1390" s="12">
        <f aca="true" t="shared" si="827" ref="F1390:F1391">ROUND(5602.13,2)</f>
        <v>5602.13</v>
      </c>
      <c r="G1390" s="12">
        <f>ROUND(5602.13,2)</f>
        <v>5602.13</v>
      </c>
      <c r="H1390" s="12">
        <f aca="true" t="shared" si="828" ref="H1390:H1391">ROUND(0,2)</f>
        <v>0</v>
      </c>
      <c r="I1390" s="13">
        <f aca="true" t="shared" si="829" ref="I1390:I1391">ROUND(0,2)</f>
        <v>0</v>
      </c>
      <c r="J1390" s="13"/>
      <c r="K1390" s="13">
        <f aca="true" t="shared" si="830" ref="K1390:K1391">ROUND(0,2)</f>
        <v>0</v>
      </c>
      <c r="L1390" s="13"/>
      <c r="M1390" s="12">
        <f aca="true" t="shared" si="831" ref="M1390:M1391">ROUND(0,2)</f>
        <v>0</v>
      </c>
      <c r="N1390" s="12">
        <f aca="true" t="shared" si="832" ref="N1390:N1391">ROUND(0,2)</f>
        <v>0</v>
      </c>
      <c r="O1390" s="12">
        <f aca="true" t="shared" si="833" ref="O1390:O1391">ROUND(5602.13,2)</f>
        <v>5602.13</v>
      </c>
      <c r="P1390" s="14">
        <v>100</v>
      </c>
      <c r="Q1390" s="14">
        <v>0</v>
      </c>
    </row>
    <row r="1391" spans="1:17" ht="12.75" customHeight="1">
      <c r="A1391" s="15" t="s">
        <v>890</v>
      </c>
      <c r="B1391" s="15"/>
      <c r="C1391" s="15"/>
      <c r="D1391" s="15"/>
      <c r="E1391" s="16" t="s">
        <v>891</v>
      </c>
      <c r="F1391" s="17">
        <f t="shared" si="827"/>
        <v>5602.13</v>
      </c>
      <c r="G1391" s="17">
        <f>ROUND(0,2)</f>
        <v>0</v>
      </c>
      <c r="H1391" s="17">
        <f t="shared" si="828"/>
        <v>0</v>
      </c>
      <c r="I1391" s="17">
        <f t="shared" si="829"/>
        <v>0</v>
      </c>
      <c r="J1391" s="17"/>
      <c r="K1391" s="17">
        <f t="shared" si="830"/>
        <v>0</v>
      </c>
      <c r="L1391" s="17"/>
      <c r="M1391" s="17">
        <f t="shared" si="831"/>
        <v>0</v>
      </c>
      <c r="N1391" s="17">
        <f t="shared" si="832"/>
        <v>0</v>
      </c>
      <c r="O1391" s="17">
        <f t="shared" si="833"/>
        <v>5602.13</v>
      </c>
      <c r="P1391" s="18">
        <v>0</v>
      </c>
      <c r="Q1391" s="18">
        <v>0</v>
      </c>
    </row>
    <row r="1392" spans="1:17" ht="12.75" customHeight="1">
      <c r="A1392" s="19" t="s">
        <v>286</v>
      </c>
      <c r="B1392" s="19"/>
      <c r="C1392" s="19"/>
      <c r="D1392" s="19"/>
      <c r="E1392" s="20">
        <f>SUM('DS1'!$A$358)</f>
        <v>0</v>
      </c>
      <c r="F1392" s="20">
        <v>5602.13</v>
      </c>
      <c r="G1392" s="20">
        <v>5602.13</v>
      </c>
      <c r="H1392" s="20">
        <v>0</v>
      </c>
      <c r="I1392" s="21">
        <v>0</v>
      </c>
      <c r="J1392" s="21"/>
      <c r="K1392" s="21">
        <v>0</v>
      </c>
      <c r="L1392" s="21"/>
      <c r="M1392" s="20">
        <v>0</v>
      </c>
      <c r="N1392" s="20">
        <v>0</v>
      </c>
      <c r="O1392" s="20">
        <v>5602.13</v>
      </c>
      <c r="P1392" s="22">
        <v>100</v>
      </c>
      <c r="Q1392" s="22">
        <v>0</v>
      </c>
    </row>
    <row r="1393" spans="1:17" ht="12.75" customHeight="1">
      <c r="A1393" s="23"/>
      <c r="B1393" s="24"/>
      <c r="C1393" s="24"/>
      <c r="D1393" s="24"/>
      <c r="E1393" s="23"/>
      <c r="F1393" s="20">
        <v>5602.13</v>
      </c>
      <c r="G1393" s="20">
        <v>0</v>
      </c>
      <c r="H1393" s="20">
        <v>0</v>
      </c>
      <c r="I1393" s="21">
        <v>0</v>
      </c>
      <c r="J1393" s="21"/>
      <c r="K1393" s="21">
        <v>0</v>
      </c>
      <c r="L1393" s="21"/>
      <c r="M1393" s="20">
        <v>0</v>
      </c>
      <c r="N1393" s="20">
        <v>0</v>
      </c>
      <c r="O1393" s="20">
        <v>5602.13</v>
      </c>
      <c r="P1393" s="22">
        <v>0</v>
      </c>
      <c r="Q1393" s="22">
        <v>0</v>
      </c>
    </row>
    <row r="1394" spans="1:17" ht="20.25" customHeight="1">
      <c r="A1394" s="23"/>
      <c r="B1394" s="24"/>
      <c r="C1394" s="24"/>
      <c r="D1394" s="24"/>
      <c r="E1394" s="23"/>
      <c r="F1394" s="23"/>
      <c r="G1394" s="23"/>
      <c r="H1394" s="23"/>
      <c r="I1394" s="24"/>
      <c r="J1394" s="24"/>
      <c r="K1394" s="24"/>
      <c r="L1394" s="24"/>
      <c r="M1394" s="23"/>
      <c r="N1394" s="23"/>
      <c r="O1394" s="23"/>
      <c r="P1394" s="23"/>
      <c r="Q1394" s="23"/>
    </row>
    <row r="1395" spans="1:17" ht="12.75" customHeight="1">
      <c r="A1395" s="19" t="s">
        <v>892</v>
      </c>
      <c r="B1395" s="19"/>
      <c r="C1395" s="19"/>
      <c r="D1395" s="19"/>
      <c r="E1395" s="20">
        <f>SUM('DS1'!$A$350:$A$358)</f>
        <v>197820</v>
      </c>
      <c r="F1395" s="20">
        <v>16571.11</v>
      </c>
      <c r="G1395" s="20">
        <v>214391.11</v>
      </c>
      <c r="H1395" s="20">
        <v>127223.99</v>
      </c>
      <c r="I1395" s="21">
        <v>127223.99</v>
      </c>
      <c r="J1395" s="21"/>
      <c r="K1395" s="21">
        <v>39325.09</v>
      </c>
      <c r="L1395" s="21"/>
      <c r="M1395" s="20">
        <v>39325.09</v>
      </c>
      <c r="N1395" s="20">
        <v>18494.87</v>
      </c>
      <c r="O1395" s="20">
        <v>39917.12</v>
      </c>
      <c r="P1395" s="22">
        <v>18.618831723013145</v>
      </c>
      <c r="Q1395" s="22">
        <v>18.34268687726837</v>
      </c>
    </row>
    <row r="1396" spans="1:17" ht="12.75" customHeight="1">
      <c r="A1396" s="23"/>
      <c r="B1396" s="24"/>
      <c r="C1396" s="24"/>
      <c r="D1396" s="24"/>
      <c r="E1396" s="23"/>
      <c r="F1396" s="20">
        <v>36711.31</v>
      </c>
      <c r="G1396" s="20">
        <v>47249.999999999985</v>
      </c>
      <c r="H1396" s="20">
        <v>0</v>
      </c>
      <c r="I1396" s="21">
        <v>87898.9</v>
      </c>
      <c r="J1396" s="21"/>
      <c r="K1396" s="21">
        <v>0</v>
      </c>
      <c r="L1396" s="21"/>
      <c r="M1396" s="20">
        <v>20830.22</v>
      </c>
      <c r="N1396" s="20">
        <v>0</v>
      </c>
      <c r="O1396" s="20">
        <v>175066.02</v>
      </c>
      <c r="P1396" s="22">
        <v>59.342008164424364</v>
      </c>
      <c r="Q1396" s="22">
        <v>47.03071245355065</v>
      </c>
    </row>
    <row r="1397" spans="1:17" ht="18" customHeight="1">
      <c r="A1397" s="23"/>
      <c r="B1397" s="24"/>
      <c r="C1397" s="24"/>
      <c r="D1397" s="24"/>
      <c r="E1397" s="23"/>
      <c r="F1397" s="23"/>
      <c r="G1397" s="23"/>
      <c r="H1397" s="23"/>
      <c r="I1397" s="24"/>
      <c r="J1397" s="24"/>
      <c r="K1397" s="24"/>
      <c r="L1397" s="24"/>
      <c r="M1397" s="23"/>
      <c r="N1397" s="23"/>
      <c r="O1397" s="23"/>
      <c r="P1397" s="23"/>
      <c r="Q1397" s="23"/>
    </row>
    <row r="1398" spans="1:17" ht="12.75" customHeight="1">
      <c r="A1398" s="10"/>
      <c r="B1398" s="11" t="s">
        <v>893</v>
      </c>
      <c r="C1398" s="11"/>
      <c r="D1398" s="11"/>
      <c r="E1398" s="12">
        <f>ROUND(0,2)</f>
        <v>0</v>
      </c>
      <c r="F1398" s="12">
        <f aca="true" t="shared" si="834" ref="F1398:F1399">ROUND(0,2)</f>
        <v>0</v>
      </c>
      <c r="G1398" s="12">
        <f aca="true" t="shared" si="835" ref="G1398:G1399">ROUND(0,2)</f>
        <v>0</v>
      </c>
      <c r="H1398" s="12">
        <f>ROUND(865.04,2)</f>
        <v>865.04</v>
      </c>
      <c r="I1398" s="13">
        <f>ROUND(865.04,2)</f>
        <v>865.04</v>
      </c>
      <c r="J1398" s="13"/>
      <c r="K1398" s="13">
        <f>ROUND(865.04,2)</f>
        <v>865.04</v>
      </c>
      <c r="L1398" s="13"/>
      <c r="M1398" s="12">
        <f aca="true" t="shared" si="836" ref="M1398:M1399">ROUND(865.04,2)</f>
        <v>865.04</v>
      </c>
      <c r="N1398" s="12">
        <f aca="true" t="shared" si="837" ref="N1398:N1399">ROUND(0,2)</f>
        <v>0</v>
      </c>
      <c r="O1398" s="12">
        <f aca="true" t="shared" si="838" ref="O1398:O1399">ROUND(-865.04,2)</f>
        <v>-865.04</v>
      </c>
      <c r="P1398" s="14">
        <v>0</v>
      </c>
      <c r="Q1398" s="14">
        <v>0</v>
      </c>
    </row>
    <row r="1399" spans="1:17" ht="12.75" customHeight="1">
      <c r="A1399" s="15" t="s">
        <v>894</v>
      </c>
      <c r="B1399" s="15"/>
      <c r="C1399" s="15"/>
      <c r="D1399" s="15"/>
      <c r="E1399" s="16" t="s">
        <v>895</v>
      </c>
      <c r="F1399" s="17">
        <f t="shared" si="834"/>
        <v>0</v>
      </c>
      <c r="G1399" s="17">
        <f t="shared" si="835"/>
        <v>0</v>
      </c>
      <c r="H1399" s="17">
        <f>ROUND(0,2)</f>
        <v>0</v>
      </c>
      <c r="I1399" s="17">
        <f>ROUND(0,2)</f>
        <v>0</v>
      </c>
      <c r="J1399" s="17"/>
      <c r="K1399" s="17">
        <f>ROUND(0,2)</f>
        <v>0</v>
      </c>
      <c r="L1399" s="17"/>
      <c r="M1399" s="17">
        <f t="shared" si="836"/>
        <v>865.04</v>
      </c>
      <c r="N1399" s="17">
        <f t="shared" si="837"/>
        <v>0</v>
      </c>
      <c r="O1399" s="17">
        <f t="shared" si="838"/>
        <v>-865.04</v>
      </c>
      <c r="P1399" s="18">
        <v>0</v>
      </c>
      <c r="Q1399" s="18">
        <v>0</v>
      </c>
    </row>
    <row r="1400" spans="1:17" ht="12.75" customHeight="1">
      <c r="A1400" s="19" t="s">
        <v>252</v>
      </c>
      <c r="B1400" s="19"/>
      <c r="C1400" s="19"/>
      <c r="D1400" s="19"/>
      <c r="E1400" s="20">
        <f>SUM('DS1'!$A$359)</f>
        <v>0</v>
      </c>
      <c r="F1400" s="20">
        <v>0</v>
      </c>
      <c r="G1400" s="20">
        <v>0</v>
      </c>
      <c r="H1400" s="20">
        <v>865.04</v>
      </c>
      <c r="I1400" s="21">
        <v>865.04</v>
      </c>
      <c r="J1400" s="21"/>
      <c r="K1400" s="21">
        <v>865.04</v>
      </c>
      <c r="L1400" s="21"/>
      <c r="M1400" s="20">
        <v>865.04</v>
      </c>
      <c r="N1400" s="20">
        <v>0</v>
      </c>
      <c r="O1400" s="20">
        <v>-865.04</v>
      </c>
      <c r="P1400" s="22">
        <v>0</v>
      </c>
      <c r="Q1400" s="22">
        <v>0</v>
      </c>
    </row>
    <row r="1401" spans="1:17" ht="12.75" customHeight="1">
      <c r="A1401" s="23"/>
      <c r="B1401" s="24"/>
      <c r="C1401" s="24"/>
      <c r="D1401" s="24"/>
      <c r="E1401" s="23"/>
      <c r="F1401" s="20">
        <v>0</v>
      </c>
      <c r="G1401" s="20">
        <v>0</v>
      </c>
      <c r="H1401" s="20">
        <v>0</v>
      </c>
      <c r="I1401" s="21">
        <v>0</v>
      </c>
      <c r="J1401" s="21"/>
      <c r="K1401" s="21">
        <v>0</v>
      </c>
      <c r="L1401" s="21"/>
      <c r="M1401" s="20">
        <v>865.04</v>
      </c>
      <c r="N1401" s="20">
        <v>0</v>
      </c>
      <c r="O1401" s="20">
        <v>-865.04</v>
      </c>
      <c r="P1401" s="22">
        <v>0</v>
      </c>
      <c r="Q1401" s="22">
        <v>0</v>
      </c>
    </row>
    <row r="1402" spans="1:17" ht="20.25" customHeight="1">
      <c r="A1402" s="23"/>
      <c r="B1402" s="24"/>
      <c r="C1402" s="24"/>
      <c r="D1402" s="24"/>
      <c r="E1402" s="23"/>
      <c r="F1402" s="23"/>
      <c r="G1402" s="23"/>
      <c r="H1402" s="23"/>
      <c r="I1402" s="24"/>
      <c r="J1402" s="24"/>
      <c r="K1402" s="24"/>
      <c r="L1402" s="24"/>
      <c r="M1402" s="23"/>
      <c r="N1402" s="23"/>
      <c r="O1402" s="23"/>
      <c r="P1402" s="23"/>
      <c r="Q1402" s="23"/>
    </row>
    <row r="1403" spans="1:17" ht="12.75" customHeight="1">
      <c r="A1403" s="10"/>
      <c r="B1403" s="11" t="s">
        <v>896</v>
      </c>
      <c r="C1403" s="11"/>
      <c r="D1403" s="11"/>
      <c r="E1403" s="12">
        <f>ROUND(8000,2)</f>
        <v>8000</v>
      </c>
      <c r="F1403" s="12">
        <f aca="true" t="shared" si="839" ref="F1403:F1404">ROUND(0,2)</f>
        <v>0</v>
      </c>
      <c r="G1403" s="12">
        <f>ROUND(8000,2)</f>
        <v>8000</v>
      </c>
      <c r="H1403" s="12">
        <f>ROUND(6237.67,2)</f>
        <v>6237.67</v>
      </c>
      <c r="I1403" s="13">
        <f>ROUND(6237.67,2)</f>
        <v>6237.67</v>
      </c>
      <c r="J1403" s="13"/>
      <c r="K1403" s="13">
        <f>ROUND(6237.67,2)</f>
        <v>6237.67</v>
      </c>
      <c r="L1403" s="13"/>
      <c r="M1403" s="12">
        <f>ROUND(6237.67,2)</f>
        <v>6237.67</v>
      </c>
      <c r="N1403" s="12">
        <f>ROUND(856.62,2)</f>
        <v>856.62</v>
      </c>
      <c r="O1403" s="12">
        <f aca="true" t="shared" si="840" ref="O1403:O1404">ROUND(1762.33,2)</f>
        <v>1762.33</v>
      </c>
      <c r="P1403" s="14">
        <v>22.029125</v>
      </c>
      <c r="Q1403" s="14">
        <v>77.970875</v>
      </c>
    </row>
    <row r="1404" spans="1:17" ht="12.75" customHeight="1">
      <c r="A1404" s="15" t="s">
        <v>897</v>
      </c>
      <c r="B1404" s="15"/>
      <c r="C1404" s="15"/>
      <c r="D1404" s="15"/>
      <c r="E1404" s="16" t="s">
        <v>895</v>
      </c>
      <c r="F1404" s="17">
        <f t="shared" si="839"/>
        <v>0</v>
      </c>
      <c r="G1404" s="17">
        <f>ROUND(0,2)</f>
        <v>0</v>
      </c>
      <c r="H1404" s="17">
        <f>ROUND(0,2)</f>
        <v>0</v>
      </c>
      <c r="I1404" s="17">
        <f>ROUND(0,2)</f>
        <v>0</v>
      </c>
      <c r="J1404" s="17"/>
      <c r="K1404" s="17">
        <f>ROUND(0,2)</f>
        <v>0</v>
      </c>
      <c r="L1404" s="17"/>
      <c r="M1404" s="17">
        <f>ROUND(5381.05,2)</f>
        <v>5381.05</v>
      </c>
      <c r="N1404" s="17">
        <f>ROUND(0,2)</f>
        <v>0</v>
      </c>
      <c r="O1404" s="17">
        <f t="shared" si="840"/>
        <v>1762.33</v>
      </c>
      <c r="P1404" s="18">
        <v>77.970875</v>
      </c>
      <c r="Q1404" s="18">
        <v>13.73301248703442</v>
      </c>
    </row>
    <row r="1405" spans="1:17" ht="12.75" customHeight="1">
      <c r="A1405" s="19" t="s">
        <v>37</v>
      </c>
      <c r="B1405" s="19"/>
      <c r="C1405" s="19"/>
      <c r="D1405" s="19"/>
      <c r="E1405" s="20">
        <f>SUM('DS1'!$A$360)</f>
        <v>8000</v>
      </c>
      <c r="F1405" s="20">
        <v>0</v>
      </c>
      <c r="G1405" s="20">
        <v>8000</v>
      </c>
      <c r="H1405" s="20">
        <v>6237.67</v>
      </c>
      <c r="I1405" s="21">
        <v>6237.67</v>
      </c>
      <c r="J1405" s="21"/>
      <c r="K1405" s="21">
        <v>6237.67</v>
      </c>
      <c r="L1405" s="21"/>
      <c r="M1405" s="20">
        <v>6237.67</v>
      </c>
      <c r="N1405" s="20">
        <v>856.62</v>
      </c>
      <c r="O1405" s="20">
        <v>1762.33</v>
      </c>
      <c r="P1405" s="22">
        <v>22.029125</v>
      </c>
      <c r="Q1405" s="22">
        <v>77.970875</v>
      </c>
    </row>
    <row r="1406" spans="1:17" ht="12.75" customHeight="1">
      <c r="A1406" s="23"/>
      <c r="B1406" s="24"/>
      <c r="C1406" s="24"/>
      <c r="D1406" s="24"/>
      <c r="E1406" s="23"/>
      <c r="F1406" s="20">
        <v>0</v>
      </c>
      <c r="G1406" s="20">
        <v>0</v>
      </c>
      <c r="H1406" s="20">
        <v>0</v>
      </c>
      <c r="I1406" s="21">
        <v>0</v>
      </c>
      <c r="J1406" s="21"/>
      <c r="K1406" s="21">
        <v>0</v>
      </c>
      <c r="L1406" s="21"/>
      <c r="M1406" s="20">
        <v>5381.05</v>
      </c>
      <c r="N1406" s="20">
        <v>0</v>
      </c>
      <c r="O1406" s="20">
        <v>1762.33</v>
      </c>
      <c r="P1406" s="22">
        <v>77.970875</v>
      </c>
      <c r="Q1406" s="22">
        <v>13.73301248703442</v>
      </c>
    </row>
    <row r="1407" spans="1:17" ht="20.25" customHeight="1">
      <c r="A1407" s="23"/>
      <c r="B1407" s="24"/>
      <c r="C1407" s="24"/>
      <c r="D1407" s="24"/>
      <c r="E1407" s="23"/>
      <c r="F1407" s="23"/>
      <c r="G1407" s="23"/>
      <c r="H1407" s="23"/>
      <c r="I1407" s="24"/>
      <c r="J1407" s="24"/>
      <c r="K1407" s="24"/>
      <c r="L1407" s="24"/>
      <c r="M1407" s="23"/>
      <c r="N1407" s="23"/>
      <c r="O1407" s="23"/>
      <c r="P1407" s="23"/>
      <c r="Q1407" s="23"/>
    </row>
    <row r="1408" spans="1:17" ht="12.75" customHeight="1">
      <c r="A1408" s="19" t="s">
        <v>898</v>
      </c>
      <c r="B1408" s="19"/>
      <c r="C1408" s="19"/>
      <c r="D1408" s="19"/>
      <c r="E1408" s="20">
        <f>SUM('DS1'!$A$359:$A$360)</f>
        <v>8000</v>
      </c>
      <c r="F1408" s="20">
        <v>0</v>
      </c>
      <c r="G1408" s="20">
        <v>8000</v>
      </c>
      <c r="H1408" s="20">
        <v>7102.71</v>
      </c>
      <c r="I1408" s="21">
        <v>7102.71</v>
      </c>
      <c r="J1408" s="21"/>
      <c r="K1408" s="21">
        <v>7102.71</v>
      </c>
      <c r="L1408" s="21"/>
      <c r="M1408" s="20">
        <v>7102.71</v>
      </c>
      <c r="N1408" s="20">
        <v>856.62</v>
      </c>
      <c r="O1408" s="20">
        <v>897.29</v>
      </c>
      <c r="P1408" s="22">
        <v>11.216124999999998</v>
      </c>
      <c r="Q1408" s="22">
        <v>88.783875</v>
      </c>
    </row>
    <row r="1409" spans="1:17" ht="12.75" customHeight="1">
      <c r="A1409" s="23"/>
      <c r="B1409" s="24"/>
      <c r="C1409" s="24"/>
      <c r="D1409" s="24"/>
      <c r="E1409" s="23"/>
      <c r="F1409" s="20">
        <v>0</v>
      </c>
      <c r="G1409" s="20">
        <v>0</v>
      </c>
      <c r="H1409" s="20">
        <v>0</v>
      </c>
      <c r="I1409" s="21">
        <v>0</v>
      </c>
      <c r="J1409" s="21"/>
      <c r="K1409" s="21">
        <v>0</v>
      </c>
      <c r="L1409" s="21"/>
      <c r="M1409" s="20">
        <v>6246.09</v>
      </c>
      <c r="N1409" s="20">
        <v>0</v>
      </c>
      <c r="O1409" s="20">
        <v>897.29</v>
      </c>
      <c r="P1409" s="22">
        <v>88.783875</v>
      </c>
      <c r="Q1409" s="22">
        <v>12.060467061163978</v>
      </c>
    </row>
    <row r="1410" spans="1:17" ht="18" customHeight="1">
      <c r="A1410" s="23"/>
      <c r="B1410" s="24"/>
      <c r="C1410" s="24"/>
      <c r="D1410" s="24"/>
      <c r="E1410" s="23"/>
      <c r="F1410" s="23"/>
      <c r="G1410" s="23"/>
      <c r="H1410" s="23"/>
      <c r="I1410" s="24"/>
      <c r="J1410" s="24"/>
      <c r="K1410" s="24"/>
      <c r="L1410" s="24"/>
      <c r="M1410" s="23"/>
      <c r="N1410" s="23"/>
      <c r="O1410" s="23"/>
      <c r="P1410" s="23"/>
      <c r="Q1410" s="23"/>
    </row>
    <row r="1411" spans="1:17" ht="12.75" customHeight="1">
      <c r="A1411" s="10"/>
      <c r="B1411" s="11" t="s">
        <v>899</v>
      </c>
      <c r="C1411" s="11"/>
      <c r="D1411" s="11"/>
      <c r="E1411" s="12">
        <f>ROUND(27531.42,2)</f>
        <v>27531.42</v>
      </c>
      <c r="F1411" s="12">
        <f>ROUND(247.78,2)</f>
        <v>247.78</v>
      </c>
      <c r="G1411" s="12">
        <f>ROUND(27779.2,2)</f>
        <v>27779.2</v>
      </c>
      <c r="H1411" s="12">
        <f>ROUND(27778.1,2)</f>
        <v>27778.1</v>
      </c>
      <c r="I1411" s="13">
        <f>ROUND(27778.1,2)</f>
        <v>27778.1</v>
      </c>
      <c r="J1411" s="13"/>
      <c r="K1411" s="13">
        <f>ROUND(27778.1,2)</f>
        <v>27778.1</v>
      </c>
      <c r="L1411" s="13"/>
      <c r="M1411" s="12">
        <f>ROUND(27778.1,2)</f>
        <v>27778.1</v>
      </c>
      <c r="N1411" s="12">
        <f>ROUND(27778.1,2)</f>
        <v>27778.1</v>
      </c>
      <c r="O1411" s="12">
        <f>ROUND(1.1,2)</f>
        <v>1.1</v>
      </c>
      <c r="P1411" s="14">
        <v>0.003959797258380372</v>
      </c>
      <c r="Q1411" s="14">
        <v>99.99604020274163</v>
      </c>
    </row>
    <row r="1412" spans="1:17" ht="12.75" customHeight="1">
      <c r="A1412" s="15" t="s">
        <v>900</v>
      </c>
      <c r="B1412" s="15"/>
      <c r="C1412" s="15"/>
      <c r="D1412" s="15"/>
      <c r="E1412" s="16" t="s">
        <v>855</v>
      </c>
      <c r="F1412" s="17">
        <f>ROUND(0,2)</f>
        <v>0</v>
      </c>
      <c r="G1412" s="17">
        <f>ROUND(0,2)</f>
        <v>0</v>
      </c>
      <c r="H1412" s="17">
        <f>ROUND(0,2)</f>
        <v>0</v>
      </c>
      <c r="I1412" s="17">
        <f>ROUND(0,2)</f>
        <v>0</v>
      </c>
      <c r="J1412" s="17"/>
      <c r="K1412" s="17">
        <f>ROUND(0,2)</f>
        <v>0</v>
      </c>
      <c r="L1412" s="17"/>
      <c r="M1412" s="17">
        <f>ROUND(0,2)</f>
        <v>0</v>
      </c>
      <c r="N1412" s="17">
        <f>ROUND(0,2)</f>
        <v>0</v>
      </c>
      <c r="O1412" s="17">
        <f>ROUND(1.09999999999854,2)</f>
        <v>1.1</v>
      </c>
      <c r="P1412" s="18">
        <v>99.99604020274163</v>
      </c>
      <c r="Q1412" s="18">
        <v>100</v>
      </c>
    </row>
    <row r="1413" spans="1:17" ht="12.75" customHeight="1">
      <c r="A1413" s="19" t="s">
        <v>60</v>
      </c>
      <c r="B1413" s="19"/>
      <c r="C1413" s="19"/>
      <c r="D1413" s="19"/>
      <c r="E1413" s="20">
        <f>SUM('DS1'!$A$361)</f>
        <v>27531.42</v>
      </c>
      <c r="F1413" s="20">
        <v>247.78</v>
      </c>
      <c r="G1413" s="20">
        <v>27779.199999999997</v>
      </c>
      <c r="H1413" s="20">
        <v>27778.1</v>
      </c>
      <c r="I1413" s="21">
        <v>27778.1</v>
      </c>
      <c r="J1413" s="21"/>
      <c r="K1413" s="21">
        <v>27778.1</v>
      </c>
      <c r="L1413" s="21"/>
      <c r="M1413" s="20">
        <v>27778.1</v>
      </c>
      <c r="N1413" s="20">
        <v>27778.1</v>
      </c>
      <c r="O1413" s="20">
        <v>1.1</v>
      </c>
      <c r="P1413" s="22">
        <v>0.003959797258380372</v>
      </c>
      <c r="Q1413" s="22">
        <v>99.99604020274163</v>
      </c>
    </row>
    <row r="1414" spans="1:17" ht="12.75" customHeight="1">
      <c r="A1414" s="23"/>
      <c r="B1414" s="24"/>
      <c r="C1414" s="24"/>
      <c r="D1414" s="24"/>
      <c r="E1414" s="23"/>
      <c r="F1414" s="20">
        <v>0</v>
      </c>
      <c r="G1414" s="20">
        <v>0</v>
      </c>
      <c r="H1414" s="20">
        <v>0</v>
      </c>
      <c r="I1414" s="21">
        <v>0</v>
      </c>
      <c r="J1414" s="21"/>
      <c r="K1414" s="21">
        <v>0</v>
      </c>
      <c r="L1414" s="21"/>
      <c r="M1414" s="20">
        <v>0</v>
      </c>
      <c r="N1414" s="20">
        <v>0</v>
      </c>
      <c r="O1414" s="20">
        <v>1.0999999999985448</v>
      </c>
      <c r="P1414" s="22">
        <v>99.99604020274163</v>
      </c>
      <c r="Q1414" s="22">
        <v>100</v>
      </c>
    </row>
    <row r="1415" spans="1:17" ht="20.25" customHeight="1">
      <c r="A1415" s="23"/>
      <c r="B1415" s="24"/>
      <c r="C1415" s="24"/>
      <c r="D1415" s="24"/>
      <c r="E1415" s="23"/>
      <c r="F1415" s="23"/>
      <c r="G1415" s="23"/>
      <c r="H1415" s="23"/>
      <c r="I1415" s="24"/>
      <c r="J1415" s="24"/>
      <c r="K1415" s="24"/>
      <c r="L1415" s="24"/>
      <c r="M1415" s="23"/>
      <c r="N1415" s="23"/>
      <c r="O1415" s="23"/>
      <c r="P1415" s="23"/>
      <c r="Q1415" s="23"/>
    </row>
    <row r="1416" spans="1:17" ht="12.75" customHeight="1">
      <c r="A1416" s="10"/>
      <c r="B1416" s="11" t="s">
        <v>901</v>
      </c>
      <c r="C1416" s="11"/>
      <c r="D1416" s="11"/>
      <c r="E1416" s="12">
        <f>ROUND(9085.37,2)</f>
        <v>9085.37</v>
      </c>
      <c r="F1416" s="12">
        <f>ROUND(81.77,2)</f>
        <v>81.77</v>
      </c>
      <c r="G1416" s="12">
        <f>ROUND(9167.14,2)</f>
        <v>9167.14</v>
      </c>
      <c r="H1416" s="12">
        <f>ROUND(8478.59,2)</f>
        <v>8478.59</v>
      </c>
      <c r="I1416" s="13">
        <f>ROUND(8478.59,2)</f>
        <v>8478.59</v>
      </c>
      <c r="J1416" s="13"/>
      <c r="K1416" s="13">
        <f>ROUND(8478.59,2)</f>
        <v>8478.59</v>
      </c>
      <c r="L1416" s="13"/>
      <c r="M1416" s="12">
        <f>ROUND(8478.59,2)</f>
        <v>8478.59</v>
      </c>
      <c r="N1416" s="12">
        <f>ROUND(8478.59,2)</f>
        <v>8478.59</v>
      </c>
      <c r="O1416" s="12">
        <f>ROUND(688.55,2)</f>
        <v>688.55</v>
      </c>
      <c r="P1416" s="14">
        <v>7.511066701283059</v>
      </c>
      <c r="Q1416" s="14">
        <v>92.48893329871693</v>
      </c>
    </row>
    <row r="1417" spans="1:17" ht="12.75" customHeight="1">
      <c r="A1417" s="15" t="s">
        <v>902</v>
      </c>
      <c r="B1417" s="15"/>
      <c r="C1417" s="15"/>
      <c r="D1417" s="15"/>
      <c r="E1417" s="16" t="s">
        <v>855</v>
      </c>
      <c r="F1417" s="17">
        <f>ROUND(0,2)</f>
        <v>0</v>
      </c>
      <c r="G1417" s="17">
        <f>ROUND(0,2)</f>
        <v>0</v>
      </c>
      <c r="H1417" s="17">
        <f>ROUND(0,2)</f>
        <v>0</v>
      </c>
      <c r="I1417" s="17">
        <f>ROUND(0,2)</f>
        <v>0</v>
      </c>
      <c r="J1417" s="17"/>
      <c r="K1417" s="17">
        <f>ROUND(0,2)</f>
        <v>0</v>
      </c>
      <c r="L1417" s="17"/>
      <c r="M1417" s="17">
        <f>ROUND(0,2)</f>
        <v>0</v>
      </c>
      <c r="N1417" s="17">
        <f>ROUND(0,2)</f>
        <v>0</v>
      </c>
      <c r="O1417" s="17">
        <f>ROUND(688.550000000001,2)</f>
        <v>688.55</v>
      </c>
      <c r="P1417" s="18">
        <v>92.48893329871693</v>
      </c>
      <c r="Q1417" s="18">
        <v>100</v>
      </c>
    </row>
    <row r="1418" spans="1:17" ht="12.75" customHeight="1">
      <c r="A1418" s="19" t="s">
        <v>68</v>
      </c>
      <c r="B1418" s="19"/>
      <c r="C1418" s="19"/>
      <c r="D1418" s="19"/>
      <c r="E1418" s="20">
        <f>SUM('DS1'!$A$362)</f>
        <v>9085.37</v>
      </c>
      <c r="F1418" s="20">
        <v>81.77</v>
      </c>
      <c r="G1418" s="20">
        <v>9167.140000000001</v>
      </c>
      <c r="H1418" s="20">
        <v>8478.59</v>
      </c>
      <c r="I1418" s="21">
        <v>8478.59</v>
      </c>
      <c r="J1418" s="21"/>
      <c r="K1418" s="21">
        <v>8478.59</v>
      </c>
      <c r="L1418" s="21"/>
      <c r="M1418" s="20">
        <v>8478.59</v>
      </c>
      <c r="N1418" s="20">
        <v>8478.59</v>
      </c>
      <c r="O1418" s="20">
        <v>688.55</v>
      </c>
      <c r="P1418" s="22">
        <v>7.511066701283059</v>
      </c>
      <c r="Q1418" s="22">
        <v>92.48893329871693</v>
      </c>
    </row>
    <row r="1419" spans="1:17" ht="12.75" customHeight="1">
      <c r="A1419" s="23"/>
      <c r="B1419" s="24"/>
      <c r="C1419" s="24"/>
      <c r="D1419" s="24"/>
      <c r="E1419" s="23"/>
      <c r="F1419" s="20">
        <v>0</v>
      </c>
      <c r="G1419" s="20">
        <v>0</v>
      </c>
      <c r="H1419" s="20">
        <v>0</v>
      </c>
      <c r="I1419" s="21">
        <v>0</v>
      </c>
      <c r="J1419" s="21"/>
      <c r="K1419" s="21">
        <v>0</v>
      </c>
      <c r="L1419" s="21"/>
      <c r="M1419" s="20">
        <v>0</v>
      </c>
      <c r="N1419" s="20">
        <v>0</v>
      </c>
      <c r="O1419" s="20">
        <v>688.5500000000011</v>
      </c>
      <c r="P1419" s="22">
        <v>92.48893329871693</v>
      </c>
      <c r="Q1419" s="22">
        <v>100</v>
      </c>
    </row>
    <row r="1420" spans="1:17" ht="20.25" customHeight="1">
      <c r="A1420" s="23"/>
      <c r="B1420" s="24"/>
      <c r="C1420" s="24"/>
      <c r="D1420" s="24"/>
      <c r="E1420" s="23"/>
      <c r="F1420" s="23"/>
      <c r="G1420" s="23"/>
      <c r="H1420" s="23"/>
      <c r="I1420" s="24"/>
      <c r="J1420" s="24"/>
      <c r="K1420" s="24"/>
      <c r="L1420" s="24"/>
      <c r="M1420" s="23"/>
      <c r="N1420" s="23"/>
      <c r="O1420" s="23"/>
      <c r="P1420" s="23"/>
      <c r="Q1420" s="23"/>
    </row>
    <row r="1421" spans="1:17" ht="12.75" customHeight="1">
      <c r="A1421" s="19" t="s">
        <v>903</v>
      </c>
      <c r="B1421" s="19"/>
      <c r="C1421" s="19"/>
      <c r="D1421" s="19"/>
      <c r="E1421" s="20">
        <f>SUM('DS1'!$A$361:$A$362)</f>
        <v>36616.79</v>
      </c>
      <c r="F1421" s="20">
        <v>329.55</v>
      </c>
      <c r="G1421" s="20">
        <v>36946.34</v>
      </c>
      <c r="H1421" s="20">
        <v>36256.69</v>
      </c>
      <c r="I1421" s="21">
        <v>36256.69</v>
      </c>
      <c r="J1421" s="21"/>
      <c r="K1421" s="21">
        <v>36256.69</v>
      </c>
      <c r="L1421" s="21"/>
      <c r="M1421" s="20">
        <v>36256.69</v>
      </c>
      <c r="N1421" s="20">
        <v>36256.69</v>
      </c>
      <c r="O1421" s="20">
        <v>689.65</v>
      </c>
      <c r="P1421" s="22">
        <v>1.8666260311576195</v>
      </c>
      <c r="Q1421" s="22">
        <v>98.13337396884239</v>
      </c>
    </row>
    <row r="1422" spans="1:17" ht="12.75" customHeight="1">
      <c r="A1422" s="23"/>
      <c r="B1422" s="24"/>
      <c r="C1422" s="24"/>
      <c r="D1422" s="24"/>
      <c r="E1422" s="23"/>
      <c r="F1422" s="20">
        <v>0</v>
      </c>
      <c r="G1422" s="20">
        <v>0</v>
      </c>
      <c r="H1422" s="20">
        <v>0</v>
      </c>
      <c r="I1422" s="21">
        <v>0</v>
      </c>
      <c r="J1422" s="21"/>
      <c r="K1422" s="21">
        <v>0</v>
      </c>
      <c r="L1422" s="21"/>
      <c r="M1422" s="20">
        <v>0</v>
      </c>
      <c r="N1422" s="20">
        <v>0</v>
      </c>
      <c r="O1422" s="20">
        <v>689.6499999999996</v>
      </c>
      <c r="P1422" s="22">
        <v>98.13337396884239</v>
      </c>
      <c r="Q1422" s="22">
        <v>100</v>
      </c>
    </row>
    <row r="1423" spans="1:17" ht="18" customHeight="1">
      <c r="A1423" s="23"/>
      <c r="B1423" s="24"/>
      <c r="C1423" s="24"/>
      <c r="D1423" s="24"/>
      <c r="E1423" s="23"/>
      <c r="F1423" s="23"/>
      <c r="G1423" s="23"/>
      <c r="H1423" s="23"/>
      <c r="I1423" s="24"/>
      <c r="J1423" s="24"/>
      <c r="K1423" s="24"/>
      <c r="L1423" s="24"/>
      <c r="M1423" s="23"/>
      <c r="N1423" s="23"/>
      <c r="O1423" s="23"/>
      <c r="P1423" s="23"/>
      <c r="Q1423" s="23"/>
    </row>
    <row r="1424" spans="1:17" ht="12.75" customHeight="1">
      <c r="A1424" s="10"/>
      <c r="B1424" s="11" t="s">
        <v>904</v>
      </c>
      <c r="C1424" s="11"/>
      <c r="D1424" s="11"/>
      <c r="E1424" s="12">
        <f>ROUND(5000,2)</f>
        <v>5000</v>
      </c>
      <c r="F1424" s="12">
        <f>ROUND(-5000,2)</f>
        <v>-5000</v>
      </c>
      <c r="G1424" s="12">
        <f aca="true" t="shared" si="841" ref="G1424:G1425">ROUND(0,2)</f>
        <v>0</v>
      </c>
      <c r="H1424" s="12">
        <f aca="true" t="shared" si="842" ref="H1424:H1425">ROUND(0,2)</f>
        <v>0</v>
      </c>
      <c r="I1424" s="13">
        <f aca="true" t="shared" si="843" ref="I1424:I1425">ROUND(0,2)</f>
        <v>0</v>
      </c>
      <c r="J1424" s="13"/>
      <c r="K1424" s="13">
        <f aca="true" t="shared" si="844" ref="K1424:K1425">ROUND(0,2)</f>
        <v>0</v>
      </c>
      <c r="L1424" s="13"/>
      <c r="M1424" s="12">
        <f aca="true" t="shared" si="845" ref="M1424:M1425">ROUND(0,2)</f>
        <v>0</v>
      </c>
      <c r="N1424" s="12">
        <f aca="true" t="shared" si="846" ref="N1424:N1425">ROUND(0,2)</f>
        <v>0</v>
      </c>
      <c r="O1424" s="12">
        <f aca="true" t="shared" si="847" ref="O1424:O1425">ROUND(0,2)</f>
        <v>0</v>
      </c>
      <c r="P1424" s="14">
        <v>0</v>
      </c>
      <c r="Q1424" s="14">
        <v>0</v>
      </c>
    </row>
    <row r="1425" spans="1:17" ht="12.75" customHeight="1">
      <c r="A1425" s="15" t="s">
        <v>905</v>
      </c>
      <c r="B1425" s="15"/>
      <c r="C1425" s="15"/>
      <c r="D1425" s="15"/>
      <c r="E1425" s="16" t="s">
        <v>906</v>
      </c>
      <c r="F1425" s="17">
        <f>ROUND(0,2)</f>
        <v>0</v>
      </c>
      <c r="G1425" s="17">
        <f t="shared" si="841"/>
        <v>0</v>
      </c>
      <c r="H1425" s="17">
        <f t="shared" si="842"/>
        <v>0</v>
      </c>
      <c r="I1425" s="17">
        <f t="shared" si="843"/>
        <v>0</v>
      </c>
      <c r="J1425" s="17"/>
      <c r="K1425" s="17">
        <f t="shared" si="844"/>
        <v>0</v>
      </c>
      <c r="L1425" s="17"/>
      <c r="M1425" s="17">
        <f t="shared" si="845"/>
        <v>0</v>
      </c>
      <c r="N1425" s="17">
        <f t="shared" si="846"/>
        <v>0</v>
      </c>
      <c r="O1425" s="17">
        <f t="shared" si="847"/>
        <v>0</v>
      </c>
      <c r="P1425" s="18">
        <v>0</v>
      </c>
      <c r="Q1425" s="18">
        <v>0</v>
      </c>
    </row>
    <row r="1426" spans="1:17" ht="12.75" customHeight="1">
      <c r="A1426" s="19" t="s">
        <v>124</v>
      </c>
      <c r="B1426" s="19"/>
      <c r="C1426" s="19"/>
      <c r="D1426" s="19"/>
      <c r="E1426" s="20">
        <f>SUM('DS1'!$A$363)</f>
        <v>5000</v>
      </c>
      <c r="F1426" s="20">
        <v>-5000</v>
      </c>
      <c r="G1426" s="20">
        <v>0</v>
      </c>
      <c r="H1426" s="20">
        <v>0</v>
      </c>
      <c r="I1426" s="21">
        <v>0</v>
      </c>
      <c r="J1426" s="21"/>
      <c r="K1426" s="21">
        <v>0</v>
      </c>
      <c r="L1426" s="21"/>
      <c r="M1426" s="20">
        <v>0</v>
      </c>
      <c r="N1426" s="20">
        <v>0</v>
      </c>
      <c r="O1426" s="20">
        <v>0</v>
      </c>
      <c r="P1426" s="22">
        <v>0</v>
      </c>
      <c r="Q1426" s="22">
        <v>0</v>
      </c>
    </row>
    <row r="1427" spans="1:17" ht="12.75" customHeight="1">
      <c r="A1427" s="23"/>
      <c r="B1427" s="24"/>
      <c r="C1427" s="24"/>
      <c r="D1427" s="24"/>
      <c r="E1427" s="23"/>
      <c r="F1427" s="20">
        <v>0</v>
      </c>
      <c r="G1427" s="20">
        <v>0</v>
      </c>
      <c r="H1427" s="20">
        <v>0</v>
      </c>
      <c r="I1427" s="21">
        <v>0</v>
      </c>
      <c r="J1427" s="21"/>
      <c r="K1427" s="21">
        <v>0</v>
      </c>
      <c r="L1427" s="21"/>
      <c r="M1427" s="20">
        <v>0</v>
      </c>
      <c r="N1427" s="20">
        <v>0</v>
      </c>
      <c r="O1427" s="20">
        <v>0</v>
      </c>
      <c r="P1427" s="22">
        <v>0</v>
      </c>
      <c r="Q1427" s="22">
        <v>0</v>
      </c>
    </row>
    <row r="1428" spans="1:17" ht="20.25" customHeight="1">
      <c r="A1428" s="23"/>
      <c r="B1428" s="24"/>
      <c r="C1428" s="24"/>
      <c r="D1428" s="24"/>
      <c r="E1428" s="23"/>
      <c r="F1428" s="23"/>
      <c r="G1428" s="23"/>
      <c r="H1428" s="23"/>
      <c r="I1428" s="24"/>
      <c r="J1428" s="24"/>
      <c r="K1428" s="24"/>
      <c r="L1428" s="24"/>
      <c r="M1428" s="23"/>
      <c r="N1428" s="23"/>
      <c r="O1428" s="23"/>
      <c r="P1428" s="23"/>
      <c r="Q1428" s="23"/>
    </row>
    <row r="1429" spans="1:17" ht="12.75" customHeight="1">
      <c r="A1429" s="10"/>
      <c r="B1429" s="11" t="s">
        <v>907</v>
      </c>
      <c r="C1429" s="11"/>
      <c r="D1429" s="11"/>
      <c r="E1429" s="12">
        <f>ROUND(8000,2)</f>
        <v>8000</v>
      </c>
      <c r="F1429" s="12">
        <f>ROUND(-8000,2)</f>
        <v>-8000</v>
      </c>
      <c r="G1429" s="12">
        <f aca="true" t="shared" si="848" ref="G1429:G1430">ROUND(0,2)</f>
        <v>0</v>
      </c>
      <c r="H1429" s="12">
        <f aca="true" t="shared" si="849" ref="H1429:H1430">ROUND(0,2)</f>
        <v>0</v>
      </c>
      <c r="I1429" s="13">
        <f aca="true" t="shared" si="850" ref="I1429:I1430">ROUND(0,2)</f>
        <v>0</v>
      </c>
      <c r="J1429" s="13"/>
      <c r="K1429" s="13">
        <f aca="true" t="shared" si="851" ref="K1429:K1430">ROUND(0,2)</f>
        <v>0</v>
      </c>
      <c r="L1429" s="13"/>
      <c r="M1429" s="12">
        <f aca="true" t="shared" si="852" ref="M1429:M1430">ROUND(0,2)</f>
        <v>0</v>
      </c>
      <c r="N1429" s="12">
        <f aca="true" t="shared" si="853" ref="N1429:N1430">ROUND(0,2)</f>
        <v>0</v>
      </c>
      <c r="O1429" s="12">
        <f aca="true" t="shared" si="854" ref="O1429:O1430">ROUND(0,2)</f>
        <v>0</v>
      </c>
      <c r="P1429" s="14">
        <v>0</v>
      </c>
      <c r="Q1429" s="14">
        <v>0</v>
      </c>
    </row>
    <row r="1430" spans="1:17" ht="12.75" customHeight="1">
      <c r="A1430" s="15" t="s">
        <v>908</v>
      </c>
      <c r="B1430" s="15"/>
      <c r="C1430" s="15"/>
      <c r="D1430" s="15"/>
      <c r="E1430" s="16" t="s">
        <v>906</v>
      </c>
      <c r="F1430" s="17">
        <f>ROUND(0,2)</f>
        <v>0</v>
      </c>
      <c r="G1430" s="17">
        <f t="shared" si="848"/>
        <v>0</v>
      </c>
      <c r="H1430" s="17">
        <f t="shared" si="849"/>
        <v>0</v>
      </c>
      <c r="I1430" s="17">
        <f t="shared" si="850"/>
        <v>0</v>
      </c>
      <c r="J1430" s="17"/>
      <c r="K1430" s="17">
        <f t="shared" si="851"/>
        <v>0</v>
      </c>
      <c r="L1430" s="17"/>
      <c r="M1430" s="17">
        <f t="shared" si="852"/>
        <v>0</v>
      </c>
      <c r="N1430" s="17">
        <f t="shared" si="853"/>
        <v>0</v>
      </c>
      <c r="O1430" s="17">
        <f t="shared" si="854"/>
        <v>0</v>
      </c>
      <c r="P1430" s="18">
        <v>0</v>
      </c>
      <c r="Q1430" s="18">
        <v>0</v>
      </c>
    </row>
    <row r="1431" spans="1:17" ht="12.75" customHeight="1">
      <c r="A1431" s="19" t="s">
        <v>37</v>
      </c>
      <c r="B1431" s="19"/>
      <c r="C1431" s="19"/>
      <c r="D1431" s="19"/>
      <c r="E1431" s="20">
        <f>SUM('DS1'!$A$364)</f>
        <v>8000</v>
      </c>
      <c r="F1431" s="20">
        <v>-8000</v>
      </c>
      <c r="G1431" s="20">
        <v>0</v>
      </c>
      <c r="H1431" s="20">
        <v>0</v>
      </c>
      <c r="I1431" s="21">
        <v>0</v>
      </c>
      <c r="J1431" s="21"/>
      <c r="K1431" s="21">
        <v>0</v>
      </c>
      <c r="L1431" s="21"/>
      <c r="M1431" s="20">
        <v>0</v>
      </c>
      <c r="N1431" s="20">
        <v>0</v>
      </c>
      <c r="O1431" s="20">
        <v>0</v>
      </c>
      <c r="P1431" s="22">
        <v>0</v>
      </c>
      <c r="Q1431" s="22">
        <v>0</v>
      </c>
    </row>
    <row r="1432" spans="1:17" ht="12.75" customHeight="1">
      <c r="A1432" s="23"/>
      <c r="B1432" s="24"/>
      <c r="C1432" s="24"/>
      <c r="D1432" s="24"/>
      <c r="E1432" s="23"/>
      <c r="F1432" s="20">
        <v>0</v>
      </c>
      <c r="G1432" s="20">
        <v>0</v>
      </c>
      <c r="H1432" s="20">
        <v>0</v>
      </c>
      <c r="I1432" s="21">
        <v>0</v>
      </c>
      <c r="J1432" s="21"/>
      <c r="K1432" s="21">
        <v>0</v>
      </c>
      <c r="L1432" s="21"/>
      <c r="M1432" s="20">
        <v>0</v>
      </c>
      <c r="N1432" s="20">
        <v>0</v>
      </c>
      <c r="O1432" s="20">
        <v>0</v>
      </c>
      <c r="P1432" s="22">
        <v>0</v>
      </c>
      <c r="Q1432" s="22">
        <v>0</v>
      </c>
    </row>
    <row r="1433" spans="1:17" ht="20.25" customHeight="1">
      <c r="A1433" s="23"/>
      <c r="B1433" s="24"/>
      <c r="C1433" s="24"/>
      <c r="D1433" s="24"/>
      <c r="E1433" s="23"/>
      <c r="F1433" s="23"/>
      <c r="G1433" s="23"/>
      <c r="H1433" s="23"/>
      <c r="I1433" s="24"/>
      <c r="J1433" s="24"/>
      <c r="K1433" s="24"/>
      <c r="L1433" s="24"/>
      <c r="M1433" s="23"/>
      <c r="N1433" s="23"/>
      <c r="O1433" s="23"/>
      <c r="P1433" s="23"/>
      <c r="Q1433" s="23"/>
    </row>
    <row r="1434" spans="1:17" ht="12.75" customHeight="1">
      <c r="A1434" s="19" t="s">
        <v>909</v>
      </c>
      <c r="B1434" s="19"/>
      <c r="C1434" s="19"/>
      <c r="D1434" s="19"/>
      <c r="E1434" s="20">
        <f>SUM('DS1'!$A$363:$A$364)</f>
        <v>13000</v>
      </c>
      <c r="F1434" s="20">
        <v>-13000</v>
      </c>
      <c r="G1434" s="20">
        <v>0</v>
      </c>
      <c r="H1434" s="20">
        <v>0</v>
      </c>
      <c r="I1434" s="21">
        <v>0</v>
      </c>
      <c r="J1434" s="21"/>
      <c r="K1434" s="21">
        <v>0</v>
      </c>
      <c r="L1434" s="21"/>
      <c r="M1434" s="20">
        <v>0</v>
      </c>
      <c r="N1434" s="20">
        <v>0</v>
      </c>
      <c r="O1434" s="20">
        <v>0</v>
      </c>
      <c r="P1434" s="22">
        <v>0</v>
      </c>
      <c r="Q1434" s="22">
        <v>0</v>
      </c>
    </row>
    <row r="1435" spans="1:17" ht="12.75" customHeight="1">
      <c r="A1435" s="23"/>
      <c r="B1435" s="24"/>
      <c r="C1435" s="24"/>
      <c r="D1435" s="24"/>
      <c r="E1435" s="23"/>
      <c r="F1435" s="20">
        <v>0</v>
      </c>
      <c r="G1435" s="20">
        <v>0</v>
      </c>
      <c r="H1435" s="20">
        <v>0</v>
      </c>
      <c r="I1435" s="21">
        <v>0</v>
      </c>
      <c r="J1435" s="21"/>
      <c r="K1435" s="21">
        <v>0</v>
      </c>
      <c r="L1435" s="21"/>
      <c r="M1435" s="20">
        <v>0</v>
      </c>
      <c r="N1435" s="20">
        <v>0</v>
      </c>
      <c r="O1435" s="20">
        <v>0</v>
      </c>
      <c r="P1435" s="22">
        <v>0</v>
      </c>
      <c r="Q1435" s="22">
        <v>0</v>
      </c>
    </row>
    <row r="1436" spans="1:17" ht="18" customHeight="1">
      <c r="A1436" s="23"/>
      <c r="B1436" s="24"/>
      <c r="C1436" s="24"/>
      <c r="D1436" s="24"/>
      <c r="E1436" s="23"/>
      <c r="F1436" s="23"/>
      <c r="G1436" s="23"/>
      <c r="H1436" s="23"/>
      <c r="I1436" s="24"/>
      <c r="J1436" s="24"/>
      <c r="K1436" s="24"/>
      <c r="L1436" s="24"/>
      <c r="M1436" s="23"/>
      <c r="N1436" s="23"/>
      <c r="O1436" s="23"/>
      <c r="P1436" s="23"/>
      <c r="Q1436" s="23"/>
    </row>
    <row r="1437" spans="1:17" ht="12.75" customHeight="1">
      <c r="A1437" s="10"/>
      <c r="B1437" s="11" t="s">
        <v>910</v>
      </c>
      <c r="C1437" s="11"/>
      <c r="D1437" s="11"/>
      <c r="E1437" s="12">
        <f>ROUND(750,2)</f>
        <v>750</v>
      </c>
      <c r="F1437" s="12">
        <f aca="true" t="shared" si="855" ref="F1437:F1438">ROUND(0,2)</f>
        <v>0</v>
      </c>
      <c r="G1437" s="12">
        <f>ROUND(750,2)</f>
        <v>750</v>
      </c>
      <c r="H1437" s="12">
        <f aca="true" t="shared" si="856" ref="H1437:H1438">ROUND(0,2)</f>
        <v>0</v>
      </c>
      <c r="I1437" s="13">
        <f aca="true" t="shared" si="857" ref="I1437:I1438">ROUND(0,2)</f>
        <v>0</v>
      </c>
      <c r="J1437" s="13"/>
      <c r="K1437" s="13">
        <f aca="true" t="shared" si="858" ref="K1437:K1438">ROUND(0,2)</f>
        <v>0</v>
      </c>
      <c r="L1437" s="13"/>
      <c r="M1437" s="12">
        <f aca="true" t="shared" si="859" ref="M1437:M1438">ROUND(0,2)</f>
        <v>0</v>
      </c>
      <c r="N1437" s="12">
        <f aca="true" t="shared" si="860" ref="N1437:N1438">ROUND(0,2)</f>
        <v>0</v>
      </c>
      <c r="O1437" s="12">
        <f aca="true" t="shared" si="861" ref="O1437:O1438">ROUND(750,2)</f>
        <v>750</v>
      </c>
      <c r="P1437" s="14">
        <v>100</v>
      </c>
      <c r="Q1437" s="14">
        <v>0</v>
      </c>
    </row>
    <row r="1438" spans="1:17" ht="12.75" customHeight="1">
      <c r="A1438" s="15" t="s">
        <v>911</v>
      </c>
      <c r="B1438" s="15"/>
      <c r="C1438" s="15"/>
      <c r="D1438" s="15"/>
      <c r="E1438" s="16" t="s">
        <v>906</v>
      </c>
      <c r="F1438" s="17">
        <f t="shared" si="855"/>
        <v>0</v>
      </c>
      <c r="G1438" s="17">
        <f>ROUND(0,2)</f>
        <v>0</v>
      </c>
      <c r="H1438" s="17">
        <f t="shared" si="856"/>
        <v>0</v>
      </c>
      <c r="I1438" s="17">
        <f t="shared" si="857"/>
        <v>0</v>
      </c>
      <c r="J1438" s="17"/>
      <c r="K1438" s="17">
        <f t="shared" si="858"/>
        <v>0</v>
      </c>
      <c r="L1438" s="17"/>
      <c r="M1438" s="17">
        <f t="shared" si="859"/>
        <v>0</v>
      </c>
      <c r="N1438" s="17">
        <f t="shared" si="860"/>
        <v>0</v>
      </c>
      <c r="O1438" s="17">
        <f t="shared" si="861"/>
        <v>750</v>
      </c>
      <c r="P1438" s="18">
        <v>0</v>
      </c>
      <c r="Q1438" s="18">
        <v>0</v>
      </c>
    </row>
    <row r="1439" spans="1:17" ht="12.75" customHeight="1">
      <c r="A1439" s="19" t="s">
        <v>92</v>
      </c>
      <c r="B1439" s="19"/>
      <c r="C1439" s="19"/>
      <c r="D1439" s="19"/>
      <c r="E1439" s="20">
        <f>SUM('DS1'!$A$365)</f>
        <v>750</v>
      </c>
      <c r="F1439" s="20">
        <v>0</v>
      </c>
      <c r="G1439" s="20">
        <v>750</v>
      </c>
      <c r="H1439" s="20">
        <v>0</v>
      </c>
      <c r="I1439" s="21">
        <v>0</v>
      </c>
      <c r="J1439" s="21"/>
      <c r="K1439" s="21">
        <v>0</v>
      </c>
      <c r="L1439" s="21"/>
      <c r="M1439" s="20">
        <v>0</v>
      </c>
      <c r="N1439" s="20">
        <v>0</v>
      </c>
      <c r="O1439" s="20">
        <v>750</v>
      </c>
      <c r="P1439" s="22">
        <v>100</v>
      </c>
      <c r="Q1439" s="22">
        <v>0</v>
      </c>
    </row>
    <row r="1440" spans="1:17" ht="12.75" customHeight="1">
      <c r="A1440" s="23"/>
      <c r="B1440" s="24"/>
      <c r="C1440" s="24"/>
      <c r="D1440" s="24"/>
      <c r="E1440" s="23"/>
      <c r="F1440" s="20">
        <v>0</v>
      </c>
      <c r="G1440" s="20">
        <v>0</v>
      </c>
      <c r="H1440" s="20">
        <v>0</v>
      </c>
      <c r="I1440" s="21">
        <v>0</v>
      </c>
      <c r="J1440" s="21"/>
      <c r="K1440" s="21">
        <v>0</v>
      </c>
      <c r="L1440" s="21"/>
      <c r="M1440" s="20">
        <v>0</v>
      </c>
      <c r="N1440" s="20">
        <v>0</v>
      </c>
      <c r="O1440" s="20">
        <v>750</v>
      </c>
      <c r="P1440" s="22">
        <v>0</v>
      </c>
      <c r="Q1440" s="22">
        <v>0</v>
      </c>
    </row>
    <row r="1441" spans="1:17" ht="20.25" customHeight="1">
      <c r="A1441" s="23"/>
      <c r="B1441" s="24"/>
      <c r="C1441" s="24"/>
      <c r="D1441" s="24"/>
      <c r="E1441" s="23"/>
      <c r="F1441" s="23"/>
      <c r="G1441" s="23"/>
      <c r="H1441" s="23"/>
      <c r="I1441" s="24"/>
      <c r="J1441" s="24"/>
      <c r="K1441" s="24"/>
      <c r="L1441" s="24"/>
      <c r="M1441" s="23"/>
      <c r="N1441" s="23"/>
      <c r="O1441" s="23"/>
      <c r="P1441" s="23"/>
      <c r="Q1441" s="23"/>
    </row>
    <row r="1442" spans="1:17" ht="12.75" customHeight="1">
      <c r="A1442" s="10"/>
      <c r="B1442" s="11" t="s">
        <v>912</v>
      </c>
      <c r="C1442" s="11"/>
      <c r="D1442" s="11"/>
      <c r="E1442" s="12">
        <f>ROUND(160000,2)</f>
        <v>160000</v>
      </c>
      <c r="F1442" s="12">
        <f aca="true" t="shared" si="862" ref="F1442:F1443">ROUND(0,2)</f>
        <v>0</v>
      </c>
      <c r="G1442" s="12">
        <f>ROUND(160000,2)</f>
        <v>160000</v>
      </c>
      <c r="H1442" s="12">
        <f>ROUND(144500,2)</f>
        <v>144500</v>
      </c>
      <c r="I1442" s="13">
        <f>ROUND(144500,2)</f>
        <v>144500</v>
      </c>
      <c r="J1442" s="13"/>
      <c r="K1442" s="13">
        <f>ROUND(144500,2)</f>
        <v>144500</v>
      </c>
      <c r="L1442" s="13"/>
      <c r="M1442" s="12">
        <f>ROUND(144500,2)</f>
        <v>144500</v>
      </c>
      <c r="N1442" s="12">
        <f>ROUND(144500,2)</f>
        <v>144500</v>
      </c>
      <c r="O1442" s="12">
        <f aca="true" t="shared" si="863" ref="O1442:O1443">ROUND(15500,2)</f>
        <v>15500</v>
      </c>
      <c r="P1442" s="14">
        <v>9.6875</v>
      </c>
      <c r="Q1442" s="14">
        <v>90.3125</v>
      </c>
    </row>
    <row r="1443" spans="1:17" ht="12.75" customHeight="1">
      <c r="A1443" s="15" t="s">
        <v>913</v>
      </c>
      <c r="B1443" s="15"/>
      <c r="C1443" s="15"/>
      <c r="D1443" s="15"/>
      <c r="E1443" s="16" t="s">
        <v>906</v>
      </c>
      <c r="F1443" s="17">
        <f t="shared" si="862"/>
        <v>0</v>
      </c>
      <c r="G1443" s="17">
        <f>ROUND(0,2)</f>
        <v>0</v>
      </c>
      <c r="H1443" s="17">
        <f>ROUND(0,2)</f>
        <v>0</v>
      </c>
      <c r="I1443" s="17">
        <f>ROUND(0,2)</f>
        <v>0</v>
      </c>
      <c r="J1443" s="17"/>
      <c r="K1443" s="17">
        <f>ROUND(0,2)</f>
        <v>0</v>
      </c>
      <c r="L1443" s="17"/>
      <c r="M1443" s="17">
        <f>ROUND(0,2)</f>
        <v>0</v>
      </c>
      <c r="N1443" s="17">
        <f>ROUND(0,2)</f>
        <v>0</v>
      </c>
      <c r="O1443" s="17">
        <f t="shared" si="863"/>
        <v>15500</v>
      </c>
      <c r="P1443" s="18">
        <v>90.3125</v>
      </c>
      <c r="Q1443" s="18">
        <v>100</v>
      </c>
    </row>
    <row r="1444" spans="1:17" ht="12.75" customHeight="1">
      <c r="A1444" s="19" t="s">
        <v>124</v>
      </c>
      <c r="B1444" s="19"/>
      <c r="C1444" s="19"/>
      <c r="D1444" s="19"/>
      <c r="E1444" s="20">
        <f>SUM('DS1'!$A$366)</f>
        <v>160000</v>
      </c>
      <c r="F1444" s="20">
        <v>0</v>
      </c>
      <c r="G1444" s="20">
        <v>160000</v>
      </c>
      <c r="H1444" s="20">
        <v>144500</v>
      </c>
      <c r="I1444" s="21">
        <v>144500</v>
      </c>
      <c r="J1444" s="21"/>
      <c r="K1444" s="21">
        <v>144500</v>
      </c>
      <c r="L1444" s="21"/>
      <c r="M1444" s="20">
        <v>144500</v>
      </c>
      <c r="N1444" s="20">
        <v>144500</v>
      </c>
      <c r="O1444" s="20">
        <v>15500</v>
      </c>
      <c r="P1444" s="22">
        <v>9.6875</v>
      </c>
      <c r="Q1444" s="22">
        <v>90.3125</v>
      </c>
    </row>
    <row r="1445" spans="1:17" ht="12.75" customHeight="1">
      <c r="A1445" s="23"/>
      <c r="B1445" s="24"/>
      <c r="C1445" s="24"/>
      <c r="D1445" s="24"/>
      <c r="E1445" s="23"/>
      <c r="F1445" s="20">
        <v>0</v>
      </c>
      <c r="G1445" s="20">
        <v>0</v>
      </c>
      <c r="H1445" s="20">
        <v>0</v>
      </c>
      <c r="I1445" s="21">
        <v>0</v>
      </c>
      <c r="J1445" s="21"/>
      <c r="K1445" s="21">
        <v>0</v>
      </c>
      <c r="L1445" s="21"/>
      <c r="M1445" s="20">
        <v>0</v>
      </c>
      <c r="N1445" s="20">
        <v>0</v>
      </c>
      <c r="O1445" s="20">
        <v>15500</v>
      </c>
      <c r="P1445" s="22">
        <v>90.3125</v>
      </c>
      <c r="Q1445" s="22">
        <v>100</v>
      </c>
    </row>
    <row r="1446" spans="1:17" ht="20.25" customHeight="1">
      <c r="A1446" s="23"/>
      <c r="B1446" s="24"/>
      <c r="C1446" s="24"/>
      <c r="D1446" s="24"/>
      <c r="E1446" s="23"/>
      <c r="F1446" s="23"/>
      <c r="G1446" s="23"/>
      <c r="H1446" s="23"/>
      <c r="I1446" s="24"/>
      <c r="J1446" s="24"/>
      <c r="K1446" s="24"/>
      <c r="L1446" s="24"/>
      <c r="M1446" s="23"/>
      <c r="N1446" s="23"/>
      <c r="O1446" s="23"/>
      <c r="P1446" s="23"/>
      <c r="Q1446" s="23"/>
    </row>
    <row r="1447" spans="1:17" ht="12.75" customHeight="1">
      <c r="A1447" s="10"/>
      <c r="B1447" s="11" t="s">
        <v>914</v>
      </c>
      <c r="C1447" s="11"/>
      <c r="D1447" s="11"/>
      <c r="E1447" s="12">
        <f>ROUND(182479.44,2)</f>
        <v>182479.44</v>
      </c>
      <c r="F1447" s="12">
        <f>ROUND(-90000,2)</f>
        <v>-90000</v>
      </c>
      <c r="G1447" s="12">
        <f>ROUND(92479.44,2)</f>
        <v>92479.44</v>
      </c>
      <c r="H1447" s="12">
        <f>ROUND(83320.9,2)</f>
        <v>83320.9</v>
      </c>
      <c r="I1447" s="13">
        <f>ROUND(83320.9,2)</f>
        <v>83320.9</v>
      </c>
      <c r="J1447" s="13"/>
      <c r="K1447" s="13">
        <f>ROUND(17050,2)</f>
        <v>17050</v>
      </c>
      <c r="L1447" s="13"/>
      <c r="M1447" s="12">
        <f aca="true" t="shared" si="864" ref="M1447:M1448">ROUND(17050,2)</f>
        <v>17050</v>
      </c>
      <c r="N1447" s="12">
        <f aca="true" t="shared" si="865" ref="N1447:N1448">ROUND(0,2)</f>
        <v>0</v>
      </c>
      <c r="O1447" s="12">
        <f>ROUND(9158.54,2)</f>
        <v>9158.54</v>
      </c>
      <c r="P1447" s="14">
        <v>9.90332553916849</v>
      </c>
      <c r="Q1447" s="14">
        <v>18.43653032501062</v>
      </c>
    </row>
    <row r="1448" spans="1:17" ht="12.75" customHeight="1">
      <c r="A1448" s="15" t="s">
        <v>915</v>
      </c>
      <c r="B1448" s="15"/>
      <c r="C1448" s="15"/>
      <c r="D1448" s="15"/>
      <c r="E1448" s="16" t="s">
        <v>906</v>
      </c>
      <c r="F1448" s="17">
        <f>ROUND(0,2)</f>
        <v>0</v>
      </c>
      <c r="G1448" s="17">
        <f>ROUND(0,2)</f>
        <v>0</v>
      </c>
      <c r="H1448" s="17">
        <f>ROUND(0,2)</f>
        <v>0</v>
      </c>
      <c r="I1448" s="17">
        <f>ROUND(66270.9,2)</f>
        <v>66270.9</v>
      </c>
      <c r="J1448" s="17"/>
      <c r="K1448" s="17">
        <f>ROUND(0,2)</f>
        <v>0</v>
      </c>
      <c r="L1448" s="17"/>
      <c r="M1448" s="17">
        <f t="shared" si="864"/>
        <v>17050</v>
      </c>
      <c r="N1448" s="17">
        <f t="shared" si="865"/>
        <v>0</v>
      </c>
      <c r="O1448" s="17">
        <f>ROUND(75429.44,2)</f>
        <v>75429.44</v>
      </c>
      <c r="P1448" s="18">
        <v>45.66043166287665</v>
      </c>
      <c r="Q1448" s="18">
        <v>0</v>
      </c>
    </row>
    <row r="1449" spans="1:17" ht="12.75" customHeight="1">
      <c r="A1449" s="10"/>
      <c r="B1449" s="11" t="s">
        <v>916</v>
      </c>
      <c r="C1449" s="11"/>
      <c r="D1449" s="11"/>
      <c r="E1449" s="12">
        <f>ROUND(80000,2)</f>
        <v>80000</v>
      </c>
      <c r="F1449" s="12">
        <f>ROUND(-50000,2)</f>
        <v>-50000</v>
      </c>
      <c r="G1449" s="12">
        <f>ROUND(30000,2)</f>
        <v>30000</v>
      </c>
      <c r="H1449" s="12">
        <f>ROUND(23611.35,2)</f>
        <v>23611.35</v>
      </c>
      <c r="I1449" s="13">
        <f>ROUND(23611.35,2)</f>
        <v>23611.35</v>
      </c>
      <c r="J1449" s="13"/>
      <c r="K1449" s="13">
        <f>ROUND(23611.35,2)</f>
        <v>23611.35</v>
      </c>
      <c r="L1449" s="13"/>
      <c r="M1449" s="12">
        <f>ROUND(23611.35,2)</f>
        <v>23611.35</v>
      </c>
      <c r="N1449" s="12">
        <f>ROUND(16632.25,2)</f>
        <v>16632.25</v>
      </c>
      <c r="O1449" s="12">
        <f>ROUND(6388.65,2)</f>
        <v>6388.65</v>
      </c>
      <c r="P1449" s="14">
        <v>21.295499999999997</v>
      </c>
      <c r="Q1449" s="14">
        <v>78.7045</v>
      </c>
    </row>
    <row r="1450" spans="1:17" ht="12.75" customHeight="1">
      <c r="A1450" s="15" t="s">
        <v>917</v>
      </c>
      <c r="B1450" s="15"/>
      <c r="C1450" s="15"/>
      <c r="D1450" s="15"/>
      <c r="E1450" s="16" t="s">
        <v>906</v>
      </c>
      <c r="F1450" s="17">
        <f>ROUND(0,2)</f>
        <v>0</v>
      </c>
      <c r="G1450" s="17">
        <f>ROUND(0,2)</f>
        <v>0</v>
      </c>
      <c r="H1450" s="17">
        <f>ROUND(0,2)</f>
        <v>0</v>
      </c>
      <c r="I1450" s="17">
        <f>ROUND(0,2)</f>
        <v>0</v>
      </c>
      <c r="J1450" s="17"/>
      <c r="K1450" s="17">
        <f>ROUND(0,2)</f>
        <v>0</v>
      </c>
      <c r="L1450" s="17"/>
      <c r="M1450" s="17">
        <f>ROUND(6979.1,2)</f>
        <v>6979.1</v>
      </c>
      <c r="N1450" s="17">
        <f>ROUND(0,2)</f>
        <v>0</v>
      </c>
      <c r="O1450" s="17">
        <f>ROUND(6388.65,2)</f>
        <v>6388.65</v>
      </c>
      <c r="P1450" s="18">
        <v>29.5141875</v>
      </c>
      <c r="Q1450" s="18">
        <v>70.44175788339084</v>
      </c>
    </row>
    <row r="1451" spans="1:17" ht="12.75" customHeight="1">
      <c r="A1451" s="19" t="s">
        <v>37</v>
      </c>
      <c r="B1451" s="19"/>
      <c r="C1451" s="19"/>
      <c r="D1451" s="19"/>
      <c r="E1451" s="20">
        <f>SUM('DS1'!$A$367:$A$368)</f>
        <v>262479.44</v>
      </c>
      <c r="F1451" s="20">
        <v>-140000</v>
      </c>
      <c r="G1451" s="20">
        <v>122479.44</v>
      </c>
      <c r="H1451" s="20">
        <v>106932.25</v>
      </c>
      <c r="I1451" s="21">
        <v>106932.25</v>
      </c>
      <c r="J1451" s="21"/>
      <c r="K1451" s="21">
        <v>40661.35</v>
      </c>
      <c r="L1451" s="21"/>
      <c r="M1451" s="20">
        <v>40661.35</v>
      </c>
      <c r="N1451" s="20">
        <v>16632.25</v>
      </c>
      <c r="O1451" s="20">
        <v>15547.19</v>
      </c>
      <c r="P1451" s="22">
        <v>12.693714145002621</v>
      </c>
      <c r="Q1451" s="22">
        <v>33.198510705143654</v>
      </c>
    </row>
    <row r="1452" spans="1:17" ht="12.75" customHeight="1">
      <c r="A1452" s="23"/>
      <c r="B1452" s="24"/>
      <c r="C1452" s="24"/>
      <c r="D1452" s="24"/>
      <c r="E1452" s="23"/>
      <c r="F1452" s="20">
        <v>0</v>
      </c>
      <c r="G1452" s="20">
        <v>0</v>
      </c>
      <c r="H1452" s="20">
        <v>0</v>
      </c>
      <c r="I1452" s="21">
        <v>66270.9</v>
      </c>
      <c r="J1452" s="21"/>
      <c r="K1452" s="21">
        <v>0</v>
      </c>
      <c r="L1452" s="21"/>
      <c r="M1452" s="20">
        <v>24029.1</v>
      </c>
      <c r="N1452" s="20">
        <v>0</v>
      </c>
      <c r="O1452" s="20">
        <v>81818.09</v>
      </c>
      <c r="P1452" s="22">
        <v>87.30628585499738</v>
      </c>
      <c r="Q1452" s="22">
        <v>40.904323147165556</v>
      </c>
    </row>
    <row r="1453" spans="1:17" ht="20.25" customHeight="1">
      <c r="A1453" s="23"/>
      <c r="B1453" s="24"/>
      <c r="C1453" s="24"/>
      <c r="D1453" s="24"/>
      <c r="E1453" s="23"/>
      <c r="F1453" s="23"/>
      <c r="G1453" s="23"/>
      <c r="H1453" s="23"/>
      <c r="I1453" s="24"/>
      <c r="J1453" s="24"/>
      <c r="K1453" s="24"/>
      <c r="L1453" s="24"/>
      <c r="M1453" s="23"/>
      <c r="N1453" s="23"/>
      <c r="O1453" s="23"/>
      <c r="P1453" s="23"/>
      <c r="Q1453" s="23"/>
    </row>
    <row r="1454" spans="1:17" ht="12.75" customHeight="1">
      <c r="A1454" s="10"/>
      <c r="B1454" s="11" t="s">
        <v>918</v>
      </c>
      <c r="C1454" s="11"/>
      <c r="D1454" s="11"/>
      <c r="E1454" s="12">
        <f>ROUND(8500,2)</f>
        <v>8500</v>
      </c>
      <c r="F1454" s="12">
        <f>ROUND(-8500,2)</f>
        <v>-8500</v>
      </c>
      <c r="G1454" s="12">
        <f aca="true" t="shared" si="866" ref="G1454:G1455">ROUND(0,2)</f>
        <v>0</v>
      </c>
      <c r="H1454" s="12">
        <f aca="true" t="shared" si="867" ref="H1454:H1455">ROUND(0,2)</f>
        <v>0</v>
      </c>
      <c r="I1454" s="13">
        <f aca="true" t="shared" si="868" ref="I1454:I1455">ROUND(0,2)</f>
        <v>0</v>
      </c>
      <c r="J1454" s="13"/>
      <c r="K1454" s="13">
        <f aca="true" t="shared" si="869" ref="K1454:K1455">ROUND(0,2)</f>
        <v>0</v>
      </c>
      <c r="L1454" s="13"/>
      <c r="M1454" s="12">
        <f aca="true" t="shared" si="870" ref="M1454:M1455">ROUND(0,2)</f>
        <v>0</v>
      </c>
      <c r="N1454" s="12">
        <f aca="true" t="shared" si="871" ref="N1454:N1455">ROUND(0,2)</f>
        <v>0</v>
      </c>
      <c r="O1454" s="12">
        <f aca="true" t="shared" si="872" ref="O1454:O1455">ROUND(0,2)</f>
        <v>0</v>
      </c>
      <c r="P1454" s="14">
        <v>0</v>
      </c>
      <c r="Q1454" s="14">
        <v>0</v>
      </c>
    </row>
    <row r="1455" spans="1:17" ht="12.75" customHeight="1">
      <c r="A1455" s="15" t="s">
        <v>919</v>
      </c>
      <c r="B1455" s="15"/>
      <c r="C1455" s="15"/>
      <c r="D1455" s="15"/>
      <c r="E1455" s="16" t="s">
        <v>920</v>
      </c>
      <c r="F1455" s="17">
        <f>ROUND(0,2)</f>
        <v>0</v>
      </c>
      <c r="G1455" s="17">
        <f t="shared" si="866"/>
        <v>0</v>
      </c>
      <c r="H1455" s="17">
        <f t="shared" si="867"/>
        <v>0</v>
      </c>
      <c r="I1455" s="17">
        <f t="shared" si="868"/>
        <v>0</v>
      </c>
      <c r="J1455" s="17"/>
      <c r="K1455" s="17">
        <f t="shared" si="869"/>
        <v>0</v>
      </c>
      <c r="L1455" s="17"/>
      <c r="M1455" s="17">
        <f t="shared" si="870"/>
        <v>0</v>
      </c>
      <c r="N1455" s="17">
        <f t="shared" si="871"/>
        <v>0</v>
      </c>
      <c r="O1455" s="17">
        <f t="shared" si="872"/>
        <v>0</v>
      </c>
      <c r="P1455" s="18">
        <v>0</v>
      </c>
      <c r="Q1455" s="18">
        <v>0</v>
      </c>
    </row>
    <row r="1456" spans="1:17" ht="12.75" customHeight="1">
      <c r="A1456" s="19" t="s">
        <v>454</v>
      </c>
      <c r="B1456" s="19"/>
      <c r="C1456" s="19"/>
      <c r="D1456" s="19"/>
      <c r="E1456" s="20">
        <f>SUM('DS1'!$A$369)</f>
        <v>8500</v>
      </c>
      <c r="F1456" s="20">
        <v>-8500</v>
      </c>
      <c r="G1456" s="20">
        <v>0</v>
      </c>
      <c r="H1456" s="20">
        <v>0</v>
      </c>
      <c r="I1456" s="21">
        <v>0</v>
      </c>
      <c r="J1456" s="21"/>
      <c r="K1456" s="21">
        <v>0</v>
      </c>
      <c r="L1456" s="21"/>
      <c r="M1456" s="20">
        <v>0</v>
      </c>
      <c r="N1456" s="20">
        <v>0</v>
      </c>
      <c r="O1456" s="20">
        <v>0</v>
      </c>
      <c r="P1456" s="22">
        <v>0</v>
      </c>
      <c r="Q1456" s="22">
        <v>0</v>
      </c>
    </row>
    <row r="1457" spans="1:17" ht="12.75" customHeight="1">
      <c r="A1457" s="23"/>
      <c r="B1457" s="24"/>
      <c r="C1457" s="24"/>
      <c r="D1457" s="24"/>
      <c r="E1457" s="23"/>
      <c r="F1457" s="20">
        <v>0</v>
      </c>
      <c r="G1457" s="20">
        <v>0</v>
      </c>
      <c r="H1457" s="20">
        <v>0</v>
      </c>
      <c r="I1457" s="21">
        <v>0</v>
      </c>
      <c r="J1457" s="21"/>
      <c r="K1457" s="21">
        <v>0</v>
      </c>
      <c r="L1457" s="21"/>
      <c r="M1457" s="20">
        <v>0</v>
      </c>
      <c r="N1457" s="20">
        <v>0</v>
      </c>
      <c r="O1457" s="20">
        <v>0</v>
      </c>
      <c r="P1457" s="22">
        <v>0</v>
      </c>
      <c r="Q1457" s="22">
        <v>0</v>
      </c>
    </row>
    <row r="1458" spans="1:17" ht="20.25" customHeight="1">
      <c r="A1458" s="23"/>
      <c r="B1458" s="24"/>
      <c r="C1458" s="24"/>
      <c r="D1458" s="24"/>
      <c r="E1458" s="23"/>
      <c r="F1458" s="23"/>
      <c r="G1458" s="23"/>
      <c r="H1458" s="23"/>
      <c r="I1458" s="24"/>
      <c r="J1458" s="24"/>
      <c r="K1458" s="24"/>
      <c r="L1458" s="24"/>
      <c r="M1458" s="23"/>
      <c r="N1458" s="23"/>
      <c r="O1458" s="23"/>
      <c r="P1458" s="23"/>
      <c r="Q1458" s="23"/>
    </row>
    <row r="1459" spans="1:17" ht="12.75" customHeight="1">
      <c r="A1459" s="10"/>
      <c r="B1459" s="11" t="s">
        <v>921</v>
      </c>
      <c r="C1459" s="11"/>
      <c r="D1459" s="11"/>
      <c r="E1459" s="12">
        <f>ROUND(45000,2)</f>
        <v>45000</v>
      </c>
      <c r="F1459" s="12">
        <f>ROUND(-45000,2)</f>
        <v>-45000</v>
      </c>
      <c r="G1459" s="12">
        <f aca="true" t="shared" si="873" ref="G1459:G1460">ROUND(0,2)</f>
        <v>0</v>
      </c>
      <c r="H1459" s="12">
        <f aca="true" t="shared" si="874" ref="H1459:H1460">ROUND(0,2)</f>
        <v>0</v>
      </c>
      <c r="I1459" s="13">
        <f aca="true" t="shared" si="875" ref="I1459:I1460">ROUND(0,2)</f>
        <v>0</v>
      </c>
      <c r="J1459" s="13"/>
      <c r="K1459" s="13">
        <f aca="true" t="shared" si="876" ref="K1459:K1460">ROUND(0,2)</f>
        <v>0</v>
      </c>
      <c r="L1459" s="13"/>
      <c r="M1459" s="12">
        <f aca="true" t="shared" si="877" ref="M1459:M1460">ROUND(0,2)</f>
        <v>0</v>
      </c>
      <c r="N1459" s="12">
        <f aca="true" t="shared" si="878" ref="N1459:N1460">ROUND(0,2)</f>
        <v>0</v>
      </c>
      <c r="O1459" s="12">
        <f aca="true" t="shared" si="879" ref="O1459:O1460">ROUND(0,2)</f>
        <v>0</v>
      </c>
      <c r="P1459" s="14">
        <v>0</v>
      </c>
      <c r="Q1459" s="14">
        <v>0</v>
      </c>
    </row>
    <row r="1460" spans="1:17" ht="12.75" customHeight="1">
      <c r="A1460" s="15" t="s">
        <v>922</v>
      </c>
      <c r="B1460" s="15"/>
      <c r="C1460" s="15"/>
      <c r="D1460" s="15"/>
      <c r="E1460" s="16" t="s">
        <v>923</v>
      </c>
      <c r="F1460" s="17">
        <f>ROUND(0,2)</f>
        <v>0</v>
      </c>
      <c r="G1460" s="17">
        <f t="shared" si="873"/>
        <v>0</v>
      </c>
      <c r="H1460" s="17">
        <f t="shared" si="874"/>
        <v>0</v>
      </c>
      <c r="I1460" s="17">
        <f t="shared" si="875"/>
        <v>0</v>
      </c>
      <c r="J1460" s="17"/>
      <c r="K1460" s="17">
        <f t="shared" si="876"/>
        <v>0</v>
      </c>
      <c r="L1460" s="17"/>
      <c r="M1460" s="17">
        <f t="shared" si="877"/>
        <v>0</v>
      </c>
      <c r="N1460" s="17">
        <f t="shared" si="878"/>
        <v>0</v>
      </c>
      <c r="O1460" s="17">
        <f t="shared" si="879"/>
        <v>0</v>
      </c>
      <c r="P1460" s="18">
        <v>0</v>
      </c>
      <c r="Q1460" s="18">
        <v>0</v>
      </c>
    </row>
    <row r="1461" spans="1:17" ht="12.75" customHeight="1">
      <c r="A1461" s="19" t="s">
        <v>461</v>
      </c>
      <c r="B1461" s="19"/>
      <c r="C1461" s="19"/>
      <c r="D1461" s="19"/>
      <c r="E1461" s="20">
        <f>SUM('DS1'!$A$370)</f>
        <v>45000</v>
      </c>
      <c r="F1461" s="20">
        <v>-45000</v>
      </c>
      <c r="G1461" s="20">
        <v>0</v>
      </c>
      <c r="H1461" s="20">
        <v>0</v>
      </c>
      <c r="I1461" s="21">
        <v>0</v>
      </c>
      <c r="J1461" s="21"/>
      <c r="K1461" s="21">
        <v>0</v>
      </c>
      <c r="L1461" s="21"/>
      <c r="M1461" s="20">
        <v>0</v>
      </c>
      <c r="N1461" s="20">
        <v>0</v>
      </c>
      <c r="O1461" s="20">
        <v>0</v>
      </c>
      <c r="P1461" s="22">
        <v>0</v>
      </c>
      <c r="Q1461" s="22">
        <v>0</v>
      </c>
    </row>
    <row r="1462" spans="1:17" ht="12.75" customHeight="1">
      <c r="A1462" s="23"/>
      <c r="B1462" s="24"/>
      <c r="C1462" s="24"/>
      <c r="D1462" s="24"/>
      <c r="E1462" s="23"/>
      <c r="F1462" s="20">
        <v>0</v>
      </c>
      <c r="G1462" s="20">
        <v>0</v>
      </c>
      <c r="H1462" s="20">
        <v>0</v>
      </c>
      <c r="I1462" s="21">
        <v>0</v>
      </c>
      <c r="J1462" s="21"/>
      <c r="K1462" s="21">
        <v>0</v>
      </c>
      <c r="L1462" s="21"/>
      <c r="M1462" s="20">
        <v>0</v>
      </c>
      <c r="N1462" s="20">
        <v>0</v>
      </c>
      <c r="O1462" s="20">
        <v>0</v>
      </c>
      <c r="P1462" s="22">
        <v>0</v>
      </c>
      <c r="Q1462" s="22">
        <v>0</v>
      </c>
    </row>
    <row r="1463" spans="1:17" ht="20.25" customHeight="1">
      <c r="A1463" s="23"/>
      <c r="B1463" s="24"/>
      <c r="C1463" s="24"/>
      <c r="D1463" s="24"/>
      <c r="E1463" s="23"/>
      <c r="F1463" s="23"/>
      <c r="G1463" s="23"/>
      <c r="H1463" s="23"/>
      <c r="I1463" s="24"/>
      <c r="J1463" s="24"/>
      <c r="K1463" s="24"/>
      <c r="L1463" s="24"/>
      <c r="M1463" s="23"/>
      <c r="N1463" s="23"/>
      <c r="O1463" s="23"/>
      <c r="P1463" s="23"/>
      <c r="Q1463" s="23"/>
    </row>
    <row r="1464" spans="1:17" ht="12.75" customHeight="1">
      <c r="A1464" s="19" t="s">
        <v>924</v>
      </c>
      <c r="B1464" s="19"/>
      <c r="C1464" s="19"/>
      <c r="D1464" s="19"/>
      <c r="E1464" s="20">
        <f>SUM('DS1'!$A$365:$A$370)</f>
        <v>476729.44</v>
      </c>
      <c r="F1464" s="20">
        <v>-193500</v>
      </c>
      <c r="G1464" s="20">
        <v>283229.44</v>
      </c>
      <c r="H1464" s="20">
        <v>251432.25</v>
      </c>
      <c r="I1464" s="21">
        <v>251432.25</v>
      </c>
      <c r="J1464" s="21"/>
      <c r="K1464" s="21">
        <v>185161.35</v>
      </c>
      <c r="L1464" s="21"/>
      <c r="M1464" s="20">
        <v>185161.35</v>
      </c>
      <c r="N1464" s="20">
        <v>161132.25</v>
      </c>
      <c r="O1464" s="20">
        <v>31797.19</v>
      </c>
      <c r="P1464" s="22">
        <v>11.22665426305966</v>
      </c>
      <c r="Q1464" s="22">
        <v>65.37503657811844</v>
      </c>
    </row>
    <row r="1465" spans="1:17" ht="12.75" customHeight="1">
      <c r="A1465" s="23"/>
      <c r="B1465" s="24"/>
      <c r="C1465" s="24"/>
      <c r="D1465" s="24"/>
      <c r="E1465" s="23"/>
      <c r="F1465" s="20">
        <v>0</v>
      </c>
      <c r="G1465" s="20">
        <v>0</v>
      </c>
      <c r="H1465" s="20">
        <v>0</v>
      </c>
      <c r="I1465" s="21">
        <v>66270.9</v>
      </c>
      <c r="J1465" s="21"/>
      <c r="K1465" s="21">
        <v>0</v>
      </c>
      <c r="L1465" s="21"/>
      <c r="M1465" s="20">
        <v>24029.1</v>
      </c>
      <c r="N1465" s="20">
        <v>0</v>
      </c>
      <c r="O1465" s="20">
        <v>98068.09</v>
      </c>
      <c r="P1465" s="22">
        <v>88.77334573694033</v>
      </c>
      <c r="Q1465" s="22">
        <v>87.02261568086428</v>
      </c>
    </row>
    <row r="1466" spans="1:17" ht="18" customHeight="1">
      <c r="A1466" s="23"/>
      <c r="B1466" s="24"/>
      <c r="C1466" s="24"/>
      <c r="D1466" s="24"/>
      <c r="E1466" s="23"/>
      <c r="F1466" s="23"/>
      <c r="G1466" s="23"/>
      <c r="H1466" s="23"/>
      <c r="I1466" s="24"/>
      <c r="J1466" s="24"/>
      <c r="K1466" s="24"/>
      <c r="L1466" s="24"/>
      <c r="M1466" s="23"/>
      <c r="N1466" s="23"/>
      <c r="O1466" s="23"/>
      <c r="P1466" s="23"/>
      <c r="Q1466" s="23"/>
    </row>
    <row r="1467" spans="1:17" ht="12.75" customHeight="1">
      <c r="A1467" s="10"/>
      <c r="B1467" s="11" t="s">
        <v>925</v>
      </c>
      <c r="C1467" s="11"/>
      <c r="D1467" s="11"/>
      <c r="E1467" s="12">
        <f>ROUND(9500,2)</f>
        <v>9500</v>
      </c>
      <c r="F1467" s="12">
        <f>ROUND(-9000,2)</f>
        <v>-9000</v>
      </c>
      <c r="G1467" s="12">
        <f>ROUND(500,2)</f>
        <v>500</v>
      </c>
      <c r="H1467" s="12">
        <f aca="true" t="shared" si="880" ref="H1467:H1468">ROUND(0,2)</f>
        <v>0</v>
      </c>
      <c r="I1467" s="13">
        <f aca="true" t="shared" si="881" ref="I1467:I1468">ROUND(0,2)</f>
        <v>0</v>
      </c>
      <c r="J1467" s="13"/>
      <c r="K1467" s="13">
        <f aca="true" t="shared" si="882" ref="K1467:K1468">ROUND(0,2)</f>
        <v>0</v>
      </c>
      <c r="L1467" s="13"/>
      <c r="M1467" s="12">
        <f aca="true" t="shared" si="883" ref="M1467:M1468">ROUND(0,2)</f>
        <v>0</v>
      </c>
      <c r="N1467" s="12">
        <f aca="true" t="shared" si="884" ref="N1467:N1468">ROUND(0,2)</f>
        <v>0</v>
      </c>
      <c r="O1467" s="12">
        <f aca="true" t="shared" si="885" ref="O1467:O1468">ROUND(500,2)</f>
        <v>500</v>
      </c>
      <c r="P1467" s="14">
        <v>100</v>
      </c>
      <c r="Q1467" s="14">
        <v>0</v>
      </c>
    </row>
    <row r="1468" spans="1:17" ht="12.75" customHeight="1">
      <c r="A1468" s="15" t="s">
        <v>926</v>
      </c>
      <c r="B1468" s="15"/>
      <c r="C1468" s="15"/>
      <c r="D1468" s="15"/>
      <c r="E1468" s="16" t="s">
        <v>906</v>
      </c>
      <c r="F1468" s="17">
        <f>ROUND(0,2)</f>
        <v>0</v>
      </c>
      <c r="G1468" s="17">
        <f>ROUND(0,2)</f>
        <v>0</v>
      </c>
      <c r="H1468" s="17">
        <f t="shared" si="880"/>
        <v>0</v>
      </c>
      <c r="I1468" s="17">
        <f t="shared" si="881"/>
        <v>0</v>
      </c>
      <c r="J1468" s="17"/>
      <c r="K1468" s="17">
        <f t="shared" si="882"/>
        <v>0</v>
      </c>
      <c r="L1468" s="17"/>
      <c r="M1468" s="17">
        <f t="shared" si="883"/>
        <v>0</v>
      </c>
      <c r="N1468" s="17">
        <f t="shared" si="884"/>
        <v>0</v>
      </c>
      <c r="O1468" s="17">
        <f t="shared" si="885"/>
        <v>500</v>
      </c>
      <c r="P1468" s="18">
        <v>0</v>
      </c>
      <c r="Q1468" s="18">
        <v>0</v>
      </c>
    </row>
    <row r="1469" spans="1:17" ht="12.75" customHeight="1">
      <c r="A1469" s="19" t="s">
        <v>37</v>
      </c>
      <c r="B1469" s="19"/>
      <c r="C1469" s="19"/>
      <c r="D1469" s="19"/>
      <c r="E1469" s="20">
        <f>SUM('DS1'!$A$371)</f>
        <v>9500</v>
      </c>
      <c r="F1469" s="20">
        <v>-9000</v>
      </c>
      <c r="G1469" s="20">
        <v>500</v>
      </c>
      <c r="H1469" s="20">
        <v>0</v>
      </c>
      <c r="I1469" s="21">
        <v>0</v>
      </c>
      <c r="J1469" s="21"/>
      <c r="K1469" s="21">
        <v>0</v>
      </c>
      <c r="L1469" s="21"/>
      <c r="M1469" s="20">
        <v>0</v>
      </c>
      <c r="N1469" s="20">
        <v>0</v>
      </c>
      <c r="O1469" s="20">
        <v>500</v>
      </c>
      <c r="P1469" s="22">
        <v>100</v>
      </c>
      <c r="Q1469" s="22">
        <v>0</v>
      </c>
    </row>
    <row r="1470" spans="1:17" ht="12.75" customHeight="1">
      <c r="A1470" s="23"/>
      <c r="B1470" s="24"/>
      <c r="C1470" s="24"/>
      <c r="D1470" s="24"/>
      <c r="E1470" s="23"/>
      <c r="F1470" s="20">
        <v>0</v>
      </c>
      <c r="G1470" s="20">
        <v>0</v>
      </c>
      <c r="H1470" s="20">
        <v>0</v>
      </c>
      <c r="I1470" s="21">
        <v>0</v>
      </c>
      <c r="J1470" s="21"/>
      <c r="K1470" s="21">
        <v>0</v>
      </c>
      <c r="L1470" s="21"/>
      <c r="M1470" s="20">
        <v>0</v>
      </c>
      <c r="N1470" s="20">
        <v>0</v>
      </c>
      <c r="O1470" s="20">
        <v>500</v>
      </c>
      <c r="P1470" s="22">
        <v>0</v>
      </c>
      <c r="Q1470" s="22">
        <v>0</v>
      </c>
    </row>
    <row r="1471" spans="1:17" ht="20.25" customHeight="1">
      <c r="A1471" s="23"/>
      <c r="B1471" s="24"/>
      <c r="C1471" s="24"/>
      <c r="D1471" s="24"/>
      <c r="E1471" s="23"/>
      <c r="F1471" s="23"/>
      <c r="G1471" s="23"/>
      <c r="H1471" s="23"/>
      <c r="I1471" s="24"/>
      <c r="J1471" s="24"/>
      <c r="K1471" s="24"/>
      <c r="L1471" s="24"/>
      <c r="M1471" s="23"/>
      <c r="N1471" s="23"/>
      <c r="O1471" s="23"/>
      <c r="P1471" s="23"/>
      <c r="Q1471" s="23"/>
    </row>
    <row r="1472" spans="1:17" ht="12.75" customHeight="1">
      <c r="A1472" s="10"/>
      <c r="B1472" s="11" t="s">
        <v>927</v>
      </c>
      <c r="C1472" s="11"/>
      <c r="D1472" s="11"/>
      <c r="E1472" s="12">
        <f>ROUND(420000,2)</f>
        <v>420000</v>
      </c>
      <c r="F1472" s="12">
        <f>ROUND(19000,2)</f>
        <v>19000</v>
      </c>
      <c r="G1472" s="12">
        <f>ROUND(439000,2)</f>
        <v>439000</v>
      </c>
      <c r="H1472" s="12">
        <f>ROUND(381907.07,2)</f>
        <v>381907.07</v>
      </c>
      <c r="I1472" s="13">
        <f>ROUND(381907.07,2)</f>
        <v>381907.07</v>
      </c>
      <c r="J1472" s="13"/>
      <c r="K1472" s="13">
        <f>ROUND(378707.87,2)</f>
        <v>378707.87</v>
      </c>
      <c r="L1472" s="13"/>
      <c r="M1472" s="12">
        <f>ROUND(378707.87,2)</f>
        <v>378707.87</v>
      </c>
      <c r="N1472" s="12">
        <f>ROUND(369637.87,2)</f>
        <v>369637.87</v>
      </c>
      <c r="O1472" s="12">
        <f>ROUND(57092.93,2)</f>
        <v>57092.93</v>
      </c>
      <c r="P1472" s="14">
        <v>13.005223234624147</v>
      </c>
      <c r="Q1472" s="14">
        <v>86.26602961275627</v>
      </c>
    </row>
    <row r="1473" spans="1:17" ht="12.75" customHeight="1">
      <c r="A1473" s="15" t="s">
        <v>928</v>
      </c>
      <c r="B1473" s="15"/>
      <c r="C1473" s="15"/>
      <c r="D1473" s="15"/>
      <c r="E1473" s="16" t="s">
        <v>929</v>
      </c>
      <c r="F1473" s="17">
        <f>ROUND(0,2)</f>
        <v>0</v>
      </c>
      <c r="G1473" s="17">
        <f>ROUND(0,2)</f>
        <v>0</v>
      </c>
      <c r="H1473" s="17">
        <f>ROUND(0,2)</f>
        <v>0</v>
      </c>
      <c r="I1473" s="17">
        <f>ROUND(3199.20000000001,2)</f>
        <v>3199.2</v>
      </c>
      <c r="J1473" s="17"/>
      <c r="K1473" s="17">
        <f>ROUND(0,2)</f>
        <v>0</v>
      </c>
      <c r="L1473" s="17"/>
      <c r="M1473" s="17">
        <f>ROUND(9070,2)</f>
        <v>9070</v>
      </c>
      <c r="N1473" s="17">
        <f>ROUND(1200,2)</f>
        <v>1200</v>
      </c>
      <c r="O1473" s="17">
        <f>ROUND(60292.13,2)</f>
        <v>60292.13</v>
      </c>
      <c r="P1473" s="18">
        <v>86.99477676537586</v>
      </c>
      <c r="Q1473" s="18">
        <v>97.6050141234192</v>
      </c>
    </row>
    <row r="1474" spans="1:17" ht="12.75" customHeight="1">
      <c r="A1474" s="19" t="s">
        <v>930</v>
      </c>
      <c r="B1474" s="19"/>
      <c r="C1474" s="19"/>
      <c r="D1474" s="19"/>
      <c r="E1474" s="20">
        <f>SUM('DS1'!$A$372)</f>
        <v>420000</v>
      </c>
      <c r="F1474" s="20">
        <v>19000</v>
      </c>
      <c r="G1474" s="20">
        <v>439000</v>
      </c>
      <c r="H1474" s="20">
        <v>381907.07</v>
      </c>
      <c r="I1474" s="21">
        <v>381907.07</v>
      </c>
      <c r="J1474" s="21"/>
      <c r="K1474" s="21">
        <v>378707.87</v>
      </c>
      <c r="L1474" s="21"/>
      <c r="M1474" s="20">
        <v>378707.87</v>
      </c>
      <c r="N1474" s="20">
        <v>369637.87</v>
      </c>
      <c r="O1474" s="20">
        <v>57092.93</v>
      </c>
      <c r="P1474" s="22">
        <v>13.005223234624147</v>
      </c>
      <c r="Q1474" s="22">
        <v>86.26602961275627</v>
      </c>
    </row>
    <row r="1475" spans="1:17" ht="12.75" customHeight="1">
      <c r="A1475" s="23"/>
      <c r="B1475" s="24"/>
      <c r="C1475" s="24"/>
      <c r="D1475" s="24"/>
      <c r="E1475" s="23"/>
      <c r="F1475" s="20">
        <v>0</v>
      </c>
      <c r="G1475" s="20">
        <v>0</v>
      </c>
      <c r="H1475" s="20">
        <v>0</v>
      </c>
      <c r="I1475" s="21">
        <v>3199.2000000000116</v>
      </c>
      <c r="J1475" s="21"/>
      <c r="K1475" s="21">
        <v>0</v>
      </c>
      <c r="L1475" s="21"/>
      <c r="M1475" s="20">
        <v>9070</v>
      </c>
      <c r="N1475" s="20">
        <v>1200</v>
      </c>
      <c r="O1475" s="20">
        <v>60292.13</v>
      </c>
      <c r="P1475" s="22">
        <v>86.99477676537586</v>
      </c>
      <c r="Q1475" s="22">
        <v>97.6050141234192</v>
      </c>
    </row>
    <row r="1476" spans="1:17" ht="20.25" customHeight="1">
      <c r="A1476" s="23"/>
      <c r="B1476" s="24"/>
      <c r="C1476" s="24"/>
      <c r="D1476" s="24"/>
      <c r="E1476" s="23"/>
      <c r="F1476" s="23"/>
      <c r="G1476" s="23"/>
      <c r="H1476" s="23"/>
      <c r="I1476" s="24"/>
      <c r="J1476" s="24"/>
      <c r="K1476" s="24"/>
      <c r="L1476" s="24"/>
      <c r="M1476" s="23"/>
      <c r="N1476" s="23"/>
      <c r="O1476" s="23"/>
      <c r="P1476" s="23"/>
      <c r="Q1476" s="23"/>
    </row>
    <row r="1477" spans="1:17" ht="12.75" customHeight="1">
      <c r="A1477" s="19" t="s">
        <v>931</v>
      </c>
      <c r="B1477" s="19"/>
      <c r="C1477" s="19"/>
      <c r="D1477" s="19"/>
      <c r="E1477" s="20">
        <f>SUM('DS1'!$A$371:$A$372)</f>
        <v>429500</v>
      </c>
      <c r="F1477" s="20">
        <v>10000</v>
      </c>
      <c r="G1477" s="20">
        <v>439500</v>
      </c>
      <c r="H1477" s="20">
        <v>381907.07</v>
      </c>
      <c r="I1477" s="21">
        <v>381907.07</v>
      </c>
      <c r="J1477" s="21"/>
      <c r="K1477" s="21">
        <v>378707.87</v>
      </c>
      <c r="L1477" s="21"/>
      <c r="M1477" s="20">
        <v>378707.87</v>
      </c>
      <c r="N1477" s="20">
        <v>369637.87</v>
      </c>
      <c r="O1477" s="20">
        <v>57592.93</v>
      </c>
      <c r="P1477" s="22">
        <v>13.10419340159272</v>
      </c>
      <c r="Q1477" s="22">
        <v>86.16788850967008</v>
      </c>
    </row>
    <row r="1478" spans="1:17" ht="12.75" customHeight="1">
      <c r="A1478" s="23"/>
      <c r="B1478" s="24"/>
      <c r="C1478" s="24"/>
      <c r="D1478" s="24"/>
      <c r="E1478" s="23"/>
      <c r="F1478" s="20">
        <v>0</v>
      </c>
      <c r="G1478" s="20">
        <v>0</v>
      </c>
      <c r="H1478" s="20">
        <v>0</v>
      </c>
      <c r="I1478" s="21">
        <v>3199.2000000000116</v>
      </c>
      <c r="J1478" s="21"/>
      <c r="K1478" s="21">
        <v>0</v>
      </c>
      <c r="L1478" s="21"/>
      <c r="M1478" s="20">
        <v>9070</v>
      </c>
      <c r="N1478" s="20">
        <v>1200</v>
      </c>
      <c r="O1478" s="20">
        <v>60792.13</v>
      </c>
      <c r="P1478" s="22">
        <v>86.89580659840729</v>
      </c>
      <c r="Q1478" s="22">
        <v>97.6050141234192</v>
      </c>
    </row>
    <row r="1479" spans="1:17" ht="18" customHeight="1">
      <c r="A1479" s="23"/>
      <c r="B1479" s="24"/>
      <c r="C1479" s="24"/>
      <c r="D1479" s="24"/>
      <c r="E1479" s="23"/>
      <c r="F1479" s="23"/>
      <c r="G1479" s="23"/>
      <c r="H1479" s="23"/>
      <c r="I1479" s="24"/>
      <c r="J1479" s="24"/>
      <c r="K1479" s="24"/>
      <c r="L1479" s="24"/>
      <c r="M1479" s="23"/>
      <c r="N1479" s="23"/>
      <c r="O1479" s="23"/>
      <c r="P1479" s="23"/>
      <c r="Q1479" s="23"/>
    </row>
    <row r="1480" spans="1:17" ht="12.75" customHeight="1">
      <c r="A1480" s="10"/>
      <c r="B1480" s="11" t="s">
        <v>932</v>
      </c>
      <c r="C1480" s="11"/>
      <c r="D1480" s="11"/>
      <c r="E1480" s="12">
        <f>ROUND(182875.56,2)</f>
        <v>182875.56</v>
      </c>
      <c r="F1480" s="12">
        <f>ROUND(1645.88,2)</f>
        <v>1645.88</v>
      </c>
      <c r="G1480" s="12">
        <f>ROUND(184521.44,2)</f>
        <v>184521.44</v>
      </c>
      <c r="H1480" s="12">
        <f>ROUND(174331.12,2)</f>
        <v>174331.12</v>
      </c>
      <c r="I1480" s="13">
        <f>ROUND(174331.12,2)</f>
        <v>174331.12</v>
      </c>
      <c r="J1480" s="13"/>
      <c r="K1480" s="13">
        <f>ROUND(174331.12,2)</f>
        <v>174331.12</v>
      </c>
      <c r="L1480" s="13"/>
      <c r="M1480" s="12">
        <f>ROUND(174331.12,2)</f>
        <v>174331.12</v>
      </c>
      <c r="N1480" s="12">
        <f>ROUND(174331.12,2)</f>
        <v>174331.12</v>
      </c>
      <c r="O1480" s="12">
        <f>ROUND(10190.32,2)</f>
        <v>10190.32</v>
      </c>
      <c r="P1480" s="14">
        <v>5.522566916885106</v>
      </c>
      <c r="Q1480" s="14">
        <v>94.47743308311489</v>
      </c>
    </row>
    <row r="1481" spans="1:17" ht="12.75" customHeight="1">
      <c r="A1481" s="15" t="s">
        <v>933</v>
      </c>
      <c r="B1481" s="15"/>
      <c r="C1481" s="15"/>
      <c r="D1481" s="15"/>
      <c r="E1481" s="16" t="s">
        <v>855</v>
      </c>
      <c r="F1481" s="17">
        <f>ROUND(0,2)</f>
        <v>0</v>
      </c>
      <c r="G1481" s="17">
        <f>ROUND(0,2)</f>
        <v>0</v>
      </c>
      <c r="H1481" s="17">
        <f>ROUND(0,2)</f>
        <v>0</v>
      </c>
      <c r="I1481" s="17">
        <f>ROUND(0,2)</f>
        <v>0</v>
      </c>
      <c r="J1481" s="17"/>
      <c r="K1481" s="17">
        <f>ROUND(0,2)</f>
        <v>0</v>
      </c>
      <c r="L1481" s="17"/>
      <c r="M1481" s="17">
        <f>ROUND(0,2)</f>
        <v>0</v>
      </c>
      <c r="N1481" s="17">
        <f>ROUND(0,2)</f>
        <v>0</v>
      </c>
      <c r="O1481" s="17">
        <f>ROUND(10190.32,2)</f>
        <v>10190.32</v>
      </c>
      <c r="P1481" s="18">
        <v>94.47743308311489</v>
      </c>
      <c r="Q1481" s="18">
        <v>100</v>
      </c>
    </row>
    <row r="1482" spans="1:17" ht="12.75" customHeight="1">
      <c r="A1482" s="19" t="s">
        <v>60</v>
      </c>
      <c r="B1482" s="19"/>
      <c r="C1482" s="19"/>
      <c r="D1482" s="19"/>
      <c r="E1482" s="20">
        <f>SUM('DS1'!$A$373)</f>
        <v>182875.56</v>
      </c>
      <c r="F1482" s="20">
        <v>1645.88</v>
      </c>
      <c r="G1482" s="20">
        <v>184521.44</v>
      </c>
      <c r="H1482" s="20">
        <v>174331.12</v>
      </c>
      <c r="I1482" s="21">
        <v>174331.12</v>
      </c>
      <c r="J1482" s="21"/>
      <c r="K1482" s="21">
        <v>174331.12</v>
      </c>
      <c r="L1482" s="21"/>
      <c r="M1482" s="20">
        <v>174331.12</v>
      </c>
      <c r="N1482" s="20">
        <v>174331.12</v>
      </c>
      <c r="O1482" s="20">
        <v>10190.32</v>
      </c>
      <c r="P1482" s="22">
        <v>5.522566916885106</v>
      </c>
      <c r="Q1482" s="22">
        <v>94.47743308311489</v>
      </c>
    </row>
    <row r="1483" spans="1:17" ht="12.75" customHeight="1">
      <c r="A1483" s="23"/>
      <c r="B1483" s="24"/>
      <c r="C1483" s="24"/>
      <c r="D1483" s="24"/>
      <c r="E1483" s="23"/>
      <c r="F1483" s="20">
        <v>0</v>
      </c>
      <c r="G1483" s="20">
        <v>0</v>
      </c>
      <c r="H1483" s="20">
        <v>0</v>
      </c>
      <c r="I1483" s="21">
        <v>0</v>
      </c>
      <c r="J1483" s="21"/>
      <c r="K1483" s="21">
        <v>0</v>
      </c>
      <c r="L1483" s="21"/>
      <c r="M1483" s="20">
        <v>0</v>
      </c>
      <c r="N1483" s="20">
        <v>0</v>
      </c>
      <c r="O1483" s="20">
        <v>10190.320000000007</v>
      </c>
      <c r="P1483" s="22">
        <v>94.47743308311489</v>
      </c>
      <c r="Q1483" s="22">
        <v>100</v>
      </c>
    </row>
    <row r="1484" spans="1:17" ht="20.25" customHeight="1">
      <c r="A1484" s="23"/>
      <c r="B1484" s="24"/>
      <c r="C1484" s="24"/>
      <c r="D1484" s="24"/>
      <c r="E1484" s="23"/>
      <c r="F1484" s="23"/>
      <c r="G1484" s="23"/>
      <c r="H1484" s="23"/>
      <c r="I1484" s="24"/>
      <c r="J1484" s="24"/>
      <c r="K1484" s="24"/>
      <c r="L1484" s="24"/>
      <c r="M1484" s="23"/>
      <c r="N1484" s="23"/>
      <c r="O1484" s="23"/>
      <c r="P1484" s="23"/>
      <c r="Q1484" s="23"/>
    </row>
    <row r="1485" spans="1:17" ht="12.75" customHeight="1">
      <c r="A1485" s="10"/>
      <c r="B1485" s="11" t="s">
        <v>934</v>
      </c>
      <c r="C1485" s="11"/>
      <c r="D1485" s="11"/>
      <c r="E1485" s="12">
        <f>ROUND(60269.41,2)</f>
        <v>60269.41</v>
      </c>
      <c r="F1485" s="12">
        <f>ROUND(542.42,2)</f>
        <v>542.42</v>
      </c>
      <c r="G1485" s="12">
        <f>ROUND(60811.83,2)</f>
        <v>60811.83</v>
      </c>
      <c r="H1485" s="12">
        <f>ROUND(54017.08,2)</f>
        <v>54017.08</v>
      </c>
      <c r="I1485" s="13">
        <f>ROUND(54017.08,2)</f>
        <v>54017.08</v>
      </c>
      <c r="J1485" s="13"/>
      <c r="K1485" s="13">
        <f>ROUND(54017.08,2)</f>
        <v>54017.08</v>
      </c>
      <c r="L1485" s="13"/>
      <c r="M1485" s="12">
        <f>ROUND(54017.08,2)</f>
        <v>54017.08</v>
      </c>
      <c r="N1485" s="12">
        <f>ROUND(54017.08,2)</f>
        <v>54017.08</v>
      </c>
      <c r="O1485" s="12">
        <f aca="true" t="shared" si="886" ref="O1485:O1486">ROUND(6794.75,2)</f>
        <v>6794.75</v>
      </c>
      <c r="P1485" s="14">
        <v>11.173401622677693</v>
      </c>
      <c r="Q1485" s="14">
        <v>88.82659837732231</v>
      </c>
    </row>
    <row r="1486" spans="1:17" ht="12.75" customHeight="1">
      <c r="A1486" s="15" t="s">
        <v>935</v>
      </c>
      <c r="B1486" s="15"/>
      <c r="C1486" s="15"/>
      <c r="D1486" s="15"/>
      <c r="E1486" s="16" t="s">
        <v>855</v>
      </c>
      <c r="F1486" s="17">
        <f>ROUND(0,2)</f>
        <v>0</v>
      </c>
      <c r="G1486" s="17">
        <f>ROUND(0,2)</f>
        <v>0</v>
      </c>
      <c r="H1486" s="17">
        <f>ROUND(0,2)</f>
        <v>0</v>
      </c>
      <c r="I1486" s="17">
        <f>ROUND(0,2)</f>
        <v>0</v>
      </c>
      <c r="J1486" s="17"/>
      <c r="K1486" s="17">
        <f>ROUND(0,2)</f>
        <v>0</v>
      </c>
      <c r="L1486" s="17"/>
      <c r="M1486" s="17">
        <f>ROUND(0,2)</f>
        <v>0</v>
      </c>
      <c r="N1486" s="17">
        <f>ROUND(0,2)</f>
        <v>0</v>
      </c>
      <c r="O1486" s="17">
        <f t="shared" si="886"/>
        <v>6794.75</v>
      </c>
      <c r="P1486" s="18">
        <v>88.82659837732231</v>
      </c>
      <c r="Q1486" s="18">
        <v>100</v>
      </c>
    </row>
    <row r="1487" spans="1:17" ht="12.75" customHeight="1">
      <c r="A1487" s="19" t="s">
        <v>68</v>
      </c>
      <c r="B1487" s="19"/>
      <c r="C1487" s="19"/>
      <c r="D1487" s="19"/>
      <c r="E1487" s="20">
        <f>SUM('DS1'!$A$374)</f>
        <v>60269.41</v>
      </c>
      <c r="F1487" s="20">
        <v>542.42</v>
      </c>
      <c r="G1487" s="20">
        <v>60811.83</v>
      </c>
      <c r="H1487" s="20">
        <v>54017.08</v>
      </c>
      <c r="I1487" s="21">
        <v>54017.08</v>
      </c>
      <c r="J1487" s="21"/>
      <c r="K1487" s="21">
        <v>54017.08</v>
      </c>
      <c r="L1487" s="21"/>
      <c r="M1487" s="20">
        <v>54017.08</v>
      </c>
      <c r="N1487" s="20">
        <v>54017.08</v>
      </c>
      <c r="O1487" s="20">
        <v>6794.75</v>
      </c>
      <c r="P1487" s="22">
        <v>11.173401622677693</v>
      </c>
      <c r="Q1487" s="22">
        <v>88.82659837732231</v>
      </c>
    </row>
    <row r="1488" spans="1:17" ht="12.75" customHeight="1">
      <c r="A1488" s="23"/>
      <c r="B1488" s="24"/>
      <c r="C1488" s="24"/>
      <c r="D1488" s="24"/>
      <c r="E1488" s="23"/>
      <c r="F1488" s="20">
        <v>0</v>
      </c>
      <c r="G1488" s="20">
        <v>0</v>
      </c>
      <c r="H1488" s="20">
        <v>0</v>
      </c>
      <c r="I1488" s="21">
        <v>0</v>
      </c>
      <c r="J1488" s="21"/>
      <c r="K1488" s="21">
        <v>0</v>
      </c>
      <c r="L1488" s="21"/>
      <c r="M1488" s="20">
        <v>0</v>
      </c>
      <c r="N1488" s="20">
        <v>0</v>
      </c>
      <c r="O1488" s="20">
        <v>6794.75</v>
      </c>
      <c r="P1488" s="22">
        <v>88.82659837732231</v>
      </c>
      <c r="Q1488" s="22">
        <v>100</v>
      </c>
    </row>
    <row r="1489" spans="1:17" ht="20.25" customHeight="1">
      <c r="A1489" s="23"/>
      <c r="B1489" s="24"/>
      <c r="C1489" s="24"/>
      <c r="D1489" s="24"/>
      <c r="E1489" s="23"/>
      <c r="F1489" s="23"/>
      <c r="G1489" s="23"/>
      <c r="H1489" s="23"/>
      <c r="I1489" s="24"/>
      <c r="J1489" s="24"/>
      <c r="K1489" s="24"/>
      <c r="L1489" s="24"/>
      <c r="M1489" s="23"/>
      <c r="N1489" s="23"/>
      <c r="O1489" s="23"/>
      <c r="P1489" s="23"/>
      <c r="Q1489" s="23"/>
    </row>
    <row r="1490" spans="1:17" ht="12.75" customHeight="1">
      <c r="A1490" s="10"/>
      <c r="B1490" s="11" t="s">
        <v>936</v>
      </c>
      <c r="C1490" s="11"/>
      <c r="D1490" s="11"/>
      <c r="E1490" s="12">
        <f>ROUND(6000,2)</f>
        <v>6000</v>
      </c>
      <c r="F1490" s="12">
        <f aca="true" t="shared" si="887" ref="F1490:F1491">ROUND(0,2)</f>
        <v>0</v>
      </c>
      <c r="G1490" s="12">
        <f>ROUND(6000,2)</f>
        <v>6000</v>
      </c>
      <c r="H1490" s="12">
        <f aca="true" t="shared" si="888" ref="H1490:H1491">ROUND(0,2)</f>
        <v>0</v>
      </c>
      <c r="I1490" s="13">
        <f aca="true" t="shared" si="889" ref="I1490:I1491">ROUND(0,2)</f>
        <v>0</v>
      </c>
      <c r="J1490" s="13"/>
      <c r="K1490" s="13">
        <f aca="true" t="shared" si="890" ref="K1490:K1491">ROUND(0,2)</f>
        <v>0</v>
      </c>
      <c r="L1490" s="13"/>
      <c r="M1490" s="12">
        <f aca="true" t="shared" si="891" ref="M1490:M1491">ROUND(0,2)</f>
        <v>0</v>
      </c>
      <c r="N1490" s="12">
        <f aca="true" t="shared" si="892" ref="N1490:N1491">ROUND(0,2)</f>
        <v>0</v>
      </c>
      <c r="O1490" s="12">
        <f aca="true" t="shared" si="893" ref="O1490:O1491">ROUND(6000,2)</f>
        <v>6000</v>
      </c>
      <c r="P1490" s="14">
        <v>100</v>
      </c>
      <c r="Q1490" s="14">
        <v>0</v>
      </c>
    </row>
    <row r="1491" spans="1:17" ht="12.75" customHeight="1">
      <c r="A1491" s="15" t="s">
        <v>937</v>
      </c>
      <c r="B1491" s="15"/>
      <c r="C1491" s="15"/>
      <c r="D1491" s="15"/>
      <c r="E1491" s="16" t="s">
        <v>938</v>
      </c>
      <c r="F1491" s="17">
        <f t="shared" si="887"/>
        <v>0</v>
      </c>
      <c r="G1491" s="17">
        <f>ROUND(0,2)</f>
        <v>0</v>
      </c>
      <c r="H1491" s="17">
        <f t="shared" si="888"/>
        <v>0</v>
      </c>
      <c r="I1491" s="17">
        <f t="shared" si="889"/>
        <v>0</v>
      </c>
      <c r="J1491" s="17"/>
      <c r="K1491" s="17">
        <f t="shared" si="890"/>
        <v>0</v>
      </c>
      <c r="L1491" s="17"/>
      <c r="M1491" s="17">
        <f t="shared" si="891"/>
        <v>0</v>
      </c>
      <c r="N1491" s="17">
        <f t="shared" si="892"/>
        <v>0</v>
      </c>
      <c r="O1491" s="17">
        <f t="shared" si="893"/>
        <v>6000</v>
      </c>
      <c r="P1491" s="18">
        <v>0</v>
      </c>
      <c r="Q1491" s="18">
        <v>0</v>
      </c>
    </row>
    <row r="1492" spans="1:17" ht="12.75" customHeight="1">
      <c r="A1492" s="19" t="s">
        <v>304</v>
      </c>
      <c r="B1492" s="19"/>
      <c r="C1492" s="19"/>
      <c r="D1492" s="19"/>
      <c r="E1492" s="20">
        <f>SUM('DS1'!$A$375)</f>
        <v>6000</v>
      </c>
      <c r="F1492" s="20">
        <v>0</v>
      </c>
      <c r="G1492" s="20">
        <v>6000</v>
      </c>
      <c r="H1492" s="20">
        <v>0</v>
      </c>
      <c r="I1492" s="21">
        <v>0</v>
      </c>
      <c r="J1492" s="21"/>
      <c r="K1492" s="21">
        <v>0</v>
      </c>
      <c r="L1492" s="21"/>
      <c r="M1492" s="20">
        <v>0</v>
      </c>
      <c r="N1492" s="20">
        <v>0</v>
      </c>
      <c r="O1492" s="20">
        <v>6000</v>
      </c>
      <c r="P1492" s="22">
        <v>100</v>
      </c>
      <c r="Q1492" s="22">
        <v>0</v>
      </c>
    </row>
    <row r="1493" spans="1:17" ht="12.75" customHeight="1">
      <c r="A1493" s="23"/>
      <c r="B1493" s="24"/>
      <c r="C1493" s="24"/>
      <c r="D1493" s="24"/>
      <c r="E1493" s="23"/>
      <c r="F1493" s="20">
        <v>0</v>
      </c>
      <c r="G1493" s="20">
        <v>0</v>
      </c>
      <c r="H1493" s="20">
        <v>0</v>
      </c>
      <c r="I1493" s="21">
        <v>0</v>
      </c>
      <c r="J1493" s="21"/>
      <c r="K1493" s="21">
        <v>0</v>
      </c>
      <c r="L1493" s="21"/>
      <c r="M1493" s="20">
        <v>0</v>
      </c>
      <c r="N1493" s="20">
        <v>0</v>
      </c>
      <c r="O1493" s="20">
        <v>6000</v>
      </c>
      <c r="P1493" s="22">
        <v>0</v>
      </c>
      <c r="Q1493" s="22">
        <v>0</v>
      </c>
    </row>
    <row r="1494" spans="1:17" ht="20.25" customHeight="1">
      <c r="A1494" s="23"/>
      <c r="B1494" s="24"/>
      <c r="C1494" s="24"/>
      <c r="D1494" s="24"/>
      <c r="E1494" s="23"/>
      <c r="F1494" s="23"/>
      <c r="G1494" s="23"/>
      <c r="H1494" s="23"/>
      <c r="I1494" s="24"/>
      <c r="J1494" s="24"/>
      <c r="K1494" s="24"/>
      <c r="L1494" s="24"/>
      <c r="M1494" s="23"/>
      <c r="N1494" s="23"/>
      <c r="O1494" s="23"/>
      <c r="P1494" s="23"/>
      <c r="Q1494" s="23"/>
    </row>
    <row r="1495" spans="1:17" ht="12.75" customHeight="1">
      <c r="A1495" s="10"/>
      <c r="B1495" s="11" t="s">
        <v>939</v>
      </c>
      <c r="C1495" s="11"/>
      <c r="D1495" s="11"/>
      <c r="E1495" s="12">
        <f>ROUND(1500,2)</f>
        <v>1500</v>
      </c>
      <c r="F1495" s="12">
        <f aca="true" t="shared" si="894" ref="F1495:F1496">ROUND(0,2)</f>
        <v>0</v>
      </c>
      <c r="G1495" s="12">
        <f>ROUND(1500,2)</f>
        <v>1500</v>
      </c>
      <c r="H1495" s="12">
        <f aca="true" t="shared" si="895" ref="H1495:H1496">ROUND(0,2)</f>
        <v>0</v>
      </c>
      <c r="I1495" s="13">
        <f aca="true" t="shared" si="896" ref="I1495:I1496">ROUND(0,2)</f>
        <v>0</v>
      </c>
      <c r="J1495" s="13"/>
      <c r="K1495" s="13">
        <f aca="true" t="shared" si="897" ref="K1495:K1496">ROUND(0,2)</f>
        <v>0</v>
      </c>
      <c r="L1495" s="13"/>
      <c r="M1495" s="12">
        <f aca="true" t="shared" si="898" ref="M1495:M1496">ROUND(0,2)</f>
        <v>0</v>
      </c>
      <c r="N1495" s="12">
        <f aca="true" t="shared" si="899" ref="N1495:N1496">ROUND(0,2)</f>
        <v>0</v>
      </c>
      <c r="O1495" s="12">
        <f aca="true" t="shared" si="900" ref="O1495:O1496">ROUND(1500,2)</f>
        <v>1500</v>
      </c>
      <c r="P1495" s="14">
        <v>100</v>
      </c>
      <c r="Q1495" s="14">
        <v>0</v>
      </c>
    </row>
    <row r="1496" spans="1:17" ht="12.75" customHeight="1">
      <c r="A1496" s="15" t="s">
        <v>940</v>
      </c>
      <c r="B1496" s="15"/>
      <c r="C1496" s="15"/>
      <c r="D1496" s="15"/>
      <c r="E1496" s="16" t="s">
        <v>938</v>
      </c>
      <c r="F1496" s="17">
        <f t="shared" si="894"/>
        <v>0</v>
      </c>
      <c r="G1496" s="17">
        <f>ROUND(0,2)</f>
        <v>0</v>
      </c>
      <c r="H1496" s="17">
        <f t="shared" si="895"/>
        <v>0</v>
      </c>
      <c r="I1496" s="17">
        <f t="shared" si="896"/>
        <v>0</v>
      </c>
      <c r="J1496" s="17"/>
      <c r="K1496" s="17">
        <f t="shared" si="897"/>
        <v>0</v>
      </c>
      <c r="L1496" s="17"/>
      <c r="M1496" s="17">
        <f t="shared" si="898"/>
        <v>0</v>
      </c>
      <c r="N1496" s="17">
        <f t="shared" si="899"/>
        <v>0</v>
      </c>
      <c r="O1496" s="17">
        <f t="shared" si="900"/>
        <v>1500</v>
      </c>
      <c r="P1496" s="18">
        <v>0</v>
      </c>
      <c r="Q1496" s="18">
        <v>0</v>
      </c>
    </row>
    <row r="1497" spans="1:17" ht="12.75" customHeight="1">
      <c r="A1497" s="19" t="s">
        <v>726</v>
      </c>
      <c r="B1497" s="19"/>
      <c r="C1497" s="19"/>
      <c r="D1497" s="19"/>
      <c r="E1497" s="20">
        <f>SUM('DS1'!$A$376)</f>
        <v>1500</v>
      </c>
      <c r="F1497" s="20">
        <v>0</v>
      </c>
      <c r="G1497" s="20">
        <v>1500</v>
      </c>
      <c r="H1497" s="20">
        <v>0</v>
      </c>
      <c r="I1497" s="21">
        <v>0</v>
      </c>
      <c r="J1497" s="21"/>
      <c r="K1497" s="21">
        <v>0</v>
      </c>
      <c r="L1497" s="21"/>
      <c r="M1497" s="20">
        <v>0</v>
      </c>
      <c r="N1497" s="20">
        <v>0</v>
      </c>
      <c r="O1497" s="20">
        <v>1500</v>
      </c>
      <c r="P1497" s="22">
        <v>100</v>
      </c>
      <c r="Q1497" s="22">
        <v>0</v>
      </c>
    </row>
    <row r="1498" spans="1:17" ht="12.75" customHeight="1">
      <c r="A1498" s="23"/>
      <c r="B1498" s="24"/>
      <c r="C1498" s="24"/>
      <c r="D1498" s="24"/>
      <c r="E1498" s="23"/>
      <c r="F1498" s="20">
        <v>0</v>
      </c>
      <c r="G1498" s="20">
        <v>0</v>
      </c>
      <c r="H1498" s="20">
        <v>0</v>
      </c>
      <c r="I1498" s="21">
        <v>0</v>
      </c>
      <c r="J1498" s="21"/>
      <c r="K1498" s="21">
        <v>0</v>
      </c>
      <c r="L1498" s="21"/>
      <c r="M1498" s="20">
        <v>0</v>
      </c>
      <c r="N1498" s="20">
        <v>0</v>
      </c>
      <c r="O1498" s="20">
        <v>1500</v>
      </c>
      <c r="P1498" s="22">
        <v>0</v>
      </c>
      <c r="Q1498" s="22">
        <v>0</v>
      </c>
    </row>
    <row r="1499" spans="1:17" ht="20.25" customHeight="1">
      <c r="A1499" s="23"/>
      <c r="B1499" s="24"/>
      <c r="C1499" s="24"/>
      <c r="D1499" s="24"/>
      <c r="E1499" s="23"/>
      <c r="F1499" s="23"/>
      <c r="G1499" s="23"/>
      <c r="H1499" s="23"/>
      <c r="I1499" s="24"/>
      <c r="J1499" s="24"/>
      <c r="K1499" s="24"/>
      <c r="L1499" s="24"/>
      <c r="M1499" s="23"/>
      <c r="N1499" s="23"/>
      <c r="O1499" s="23"/>
      <c r="P1499" s="23"/>
      <c r="Q1499" s="23"/>
    </row>
    <row r="1500" spans="1:17" ht="12.75" customHeight="1">
      <c r="A1500" s="10"/>
      <c r="B1500" s="11" t="s">
        <v>941</v>
      </c>
      <c r="C1500" s="11"/>
      <c r="D1500" s="11"/>
      <c r="E1500" s="12">
        <f>ROUND(4000,2)</f>
        <v>4000</v>
      </c>
      <c r="F1500" s="12">
        <f aca="true" t="shared" si="901" ref="F1500:F1501">ROUND(0,2)</f>
        <v>0</v>
      </c>
      <c r="G1500" s="12">
        <f>ROUND(4000,2)</f>
        <v>4000</v>
      </c>
      <c r="H1500" s="12">
        <f>ROUND(352.05,2)</f>
        <v>352.05</v>
      </c>
      <c r="I1500" s="13">
        <f>ROUND(352.05,2)</f>
        <v>352.05</v>
      </c>
      <c r="J1500" s="13"/>
      <c r="K1500" s="13">
        <f>ROUND(352.05,2)</f>
        <v>352.05</v>
      </c>
      <c r="L1500" s="13"/>
      <c r="M1500" s="12">
        <f>ROUND(352.05,2)</f>
        <v>352.05</v>
      </c>
      <c r="N1500" s="12">
        <f>ROUND(313.8,2)</f>
        <v>313.8</v>
      </c>
      <c r="O1500" s="12">
        <f aca="true" t="shared" si="902" ref="O1500:O1501">ROUND(3647.95,2)</f>
        <v>3647.95</v>
      </c>
      <c r="P1500" s="14">
        <v>91.19874999999999</v>
      </c>
      <c r="Q1500" s="14">
        <v>8.801250000000001</v>
      </c>
    </row>
    <row r="1501" spans="1:17" ht="12.75" customHeight="1">
      <c r="A1501" s="15" t="s">
        <v>942</v>
      </c>
      <c r="B1501" s="15"/>
      <c r="C1501" s="15"/>
      <c r="D1501" s="15"/>
      <c r="E1501" s="16" t="s">
        <v>906</v>
      </c>
      <c r="F1501" s="17">
        <f t="shared" si="901"/>
        <v>0</v>
      </c>
      <c r="G1501" s="17">
        <f>ROUND(0,2)</f>
        <v>0</v>
      </c>
      <c r="H1501" s="17">
        <f>ROUND(0,2)</f>
        <v>0</v>
      </c>
      <c r="I1501" s="17">
        <f>ROUND(0,2)</f>
        <v>0</v>
      </c>
      <c r="J1501" s="17"/>
      <c r="K1501" s="17">
        <f>ROUND(0,2)</f>
        <v>0</v>
      </c>
      <c r="L1501" s="17"/>
      <c r="M1501" s="17">
        <f>ROUND(38.25,2)</f>
        <v>38.25</v>
      </c>
      <c r="N1501" s="17">
        <f>ROUND(0,2)</f>
        <v>0</v>
      </c>
      <c r="O1501" s="17">
        <f t="shared" si="902"/>
        <v>3647.95</v>
      </c>
      <c r="P1501" s="18">
        <v>8.801250000000001</v>
      </c>
      <c r="Q1501" s="18">
        <v>89.13506604175542</v>
      </c>
    </row>
    <row r="1502" spans="1:17" ht="12.75" customHeight="1">
      <c r="A1502" s="19" t="s">
        <v>92</v>
      </c>
      <c r="B1502" s="19"/>
      <c r="C1502" s="19"/>
      <c r="D1502" s="19"/>
      <c r="E1502" s="20">
        <f>SUM('DS1'!$A$377)</f>
        <v>4000</v>
      </c>
      <c r="F1502" s="20">
        <v>0</v>
      </c>
      <c r="G1502" s="20">
        <v>4000</v>
      </c>
      <c r="H1502" s="20">
        <v>352.05</v>
      </c>
      <c r="I1502" s="21">
        <v>352.05</v>
      </c>
      <c r="J1502" s="21"/>
      <c r="K1502" s="21">
        <v>352.05</v>
      </c>
      <c r="L1502" s="21"/>
      <c r="M1502" s="20">
        <v>352.05</v>
      </c>
      <c r="N1502" s="20">
        <v>313.8</v>
      </c>
      <c r="O1502" s="20">
        <v>3647.95</v>
      </c>
      <c r="P1502" s="22">
        <v>91.19874999999999</v>
      </c>
      <c r="Q1502" s="22">
        <v>8.801250000000001</v>
      </c>
    </row>
    <row r="1503" spans="1:17" ht="12.75" customHeight="1">
      <c r="A1503" s="23"/>
      <c r="B1503" s="24"/>
      <c r="C1503" s="24"/>
      <c r="D1503" s="24"/>
      <c r="E1503" s="23"/>
      <c r="F1503" s="20">
        <v>0</v>
      </c>
      <c r="G1503" s="20">
        <v>0</v>
      </c>
      <c r="H1503" s="20">
        <v>0</v>
      </c>
      <c r="I1503" s="21">
        <v>0</v>
      </c>
      <c r="J1503" s="21"/>
      <c r="K1503" s="21">
        <v>0</v>
      </c>
      <c r="L1503" s="21"/>
      <c r="M1503" s="20">
        <v>38.25</v>
      </c>
      <c r="N1503" s="20">
        <v>0</v>
      </c>
      <c r="O1503" s="20">
        <v>3647.95</v>
      </c>
      <c r="P1503" s="22">
        <v>8.801250000000001</v>
      </c>
      <c r="Q1503" s="22">
        <v>89.13506604175542</v>
      </c>
    </row>
    <row r="1504" spans="1:17" ht="20.25" customHeight="1">
      <c r="A1504" s="23"/>
      <c r="B1504" s="24"/>
      <c r="C1504" s="24"/>
      <c r="D1504" s="24"/>
      <c r="E1504" s="23"/>
      <c r="F1504" s="23"/>
      <c r="G1504" s="23"/>
      <c r="H1504" s="23"/>
      <c r="I1504" s="24"/>
      <c r="J1504" s="24"/>
      <c r="K1504" s="24"/>
      <c r="L1504" s="24"/>
      <c r="M1504" s="23"/>
      <c r="N1504" s="23"/>
      <c r="O1504" s="23"/>
      <c r="P1504" s="23"/>
      <c r="Q1504" s="23"/>
    </row>
    <row r="1505" spans="1:17" ht="12.75" customHeight="1">
      <c r="A1505" s="10"/>
      <c r="B1505" s="11" t="s">
        <v>943</v>
      </c>
      <c r="C1505" s="11"/>
      <c r="D1505" s="11"/>
      <c r="E1505" s="12">
        <f>ROUND(15000,2)</f>
        <v>15000</v>
      </c>
      <c r="F1505" s="12">
        <f aca="true" t="shared" si="903" ref="F1505:F1508">ROUND(0,2)</f>
        <v>0</v>
      </c>
      <c r="G1505" s="12">
        <f>ROUND(15000,2)</f>
        <v>15000</v>
      </c>
      <c r="H1505" s="12">
        <f>ROUND(8105.25,2)</f>
        <v>8105.25</v>
      </c>
      <c r="I1505" s="13">
        <f>ROUND(8105.25,2)</f>
        <v>8105.25</v>
      </c>
      <c r="J1505" s="13"/>
      <c r="K1505" s="13">
        <f>ROUND(8105.25,2)</f>
        <v>8105.25</v>
      </c>
      <c r="L1505" s="13"/>
      <c r="M1505" s="12">
        <f>ROUND(8105.25,2)</f>
        <v>8105.25</v>
      </c>
      <c r="N1505" s="12">
        <f>ROUND(8105.25,2)</f>
        <v>8105.25</v>
      </c>
      <c r="O1505" s="12">
        <f aca="true" t="shared" si="904" ref="O1505:O1506">ROUND(6894.75,2)</f>
        <v>6894.75</v>
      </c>
      <c r="P1505" s="14">
        <v>45.965</v>
      </c>
      <c r="Q1505" s="14">
        <v>54.035</v>
      </c>
    </row>
    <row r="1506" spans="1:17" ht="12.75" customHeight="1">
      <c r="A1506" s="15" t="s">
        <v>933</v>
      </c>
      <c r="B1506" s="15"/>
      <c r="C1506" s="15"/>
      <c r="D1506" s="15"/>
      <c r="E1506" s="16" t="s">
        <v>906</v>
      </c>
      <c r="F1506" s="17">
        <f t="shared" si="903"/>
        <v>0</v>
      </c>
      <c r="G1506" s="17">
        <f>ROUND(0,2)</f>
        <v>0</v>
      </c>
      <c r="H1506" s="17">
        <f aca="true" t="shared" si="905" ref="H1506:H1508">ROUND(0,2)</f>
        <v>0</v>
      </c>
      <c r="I1506" s="17">
        <f aca="true" t="shared" si="906" ref="I1506:I1508">ROUND(0,2)</f>
        <v>0</v>
      </c>
      <c r="J1506" s="17"/>
      <c r="K1506" s="17">
        <f aca="true" t="shared" si="907" ref="K1506:K1508">ROUND(0,2)</f>
        <v>0</v>
      </c>
      <c r="L1506" s="17"/>
      <c r="M1506" s="17">
        <f aca="true" t="shared" si="908" ref="M1506:M1508">ROUND(0,2)</f>
        <v>0</v>
      </c>
      <c r="N1506" s="17">
        <f aca="true" t="shared" si="909" ref="N1506:N1508">ROUND(0,2)</f>
        <v>0</v>
      </c>
      <c r="O1506" s="17">
        <f t="shared" si="904"/>
        <v>6894.75</v>
      </c>
      <c r="P1506" s="18">
        <v>54.035</v>
      </c>
      <c r="Q1506" s="18">
        <v>100</v>
      </c>
    </row>
    <row r="1507" spans="1:17" ht="12.75" customHeight="1">
      <c r="A1507" s="10"/>
      <c r="B1507" s="11" t="s">
        <v>944</v>
      </c>
      <c r="C1507" s="11"/>
      <c r="D1507" s="11"/>
      <c r="E1507" s="12">
        <f>ROUND(10680,2)</f>
        <v>10680</v>
      </c>
      <c r="F1507" s="12">
        <f t="shared" si="903"/>
        <v>0</v>
      </c>
      <c r="G1507" s="12">
        <f>ROUND(10680,2)</f>
        <v>10680</v>
      </c>
      <c r="H1507" s="12">
        <f t="shared" si="905"/>
        <v>0</v>
      </c>
      <c r="I1507" s="13">
        <f t="shared" si="906"/>
        <v>0</v>
      </c>
      <c r="J1507" s="13"/>
      <c r="K1507" s="13">
        <f t="shared" si="907"/>
        <v>0</v>
      </c>
      <c r="L1507" s="13"/>
      <c r="M1507" s="12">
        <f t="shared" si="908"/>
        <v>0</v>
      </c>
      <c r="N1507" s="12">
        <f t="shared" si="909"/>
        <v>0</v>
      </c>
      <c r="O1507" s="12">
        <f aca="true" t="shared" si="910" ref="O1507:O1508">ROUND(10680,2)</f>
        <v>10680</v>
      </c>
      <c r="P1507" s="14">
        <v>100</v>
      </c>
      <c r="Q1507" s="14">
        <v>0</v>
      </c>
    </row>
    <row r="1508" spans="1:17" ht="12.75" customHeight="1">
      <c r="A1508" s="15" t="s">
        <v>945</v>
      </c>
      <c r="B1508" s="15"/>
      <c r="C1508" s="15"/>
      <c r="D1508" s="15"/>
      <c r="E1508" s="16" t="s">
        <v>906</v>
      </c>
      <c r="F1508" s="17">
        <f t="shared" si="903"/>
        <v>0</v>
      </c>
      <c r="G1508" s="17">
        <f>ROUND(0,2)</f>
        <v>0</v>
      </c>
      <c r="H1508" s="17">
        <f t="shared" si="905"/>
        <v>0</v>
      </c>
      <c r="I1508" s="17">
        <f t="shared" si="906"/>
        <v>0</v>
      </c>
      <c r="J1508" s="17"/>
      <c r="K1508" s="17">
        <f t="shared" si="907"/>
        <v>0</v>
      </c>
      <c r="L1508" s="17"/>
      <c r="M1508" s="17">
        <f t="shared" si="908"/>
        <v>0</v>
      </c>
      <c r="N1508" s="17">
        <f t="shared" si="909"/>
        <v>0</v>
      </c>
      <c r="O1508" s="17">
        <f t="shared" si="910"/>
        <v>10680</v>
      </c>
      <c r="P1508" s="18">
        <v>0</v>
      </c>
      <c r="Q1508" s="18">
        <v>0</v>
      </c>
    </row>
    <row r="1509" spans="1:17" ht="12.75" customHeight="1">
      <c r="A1509" s="19" t="s">
        <v>124</v>
      </c>
      <c r="B1509" s="19"/>
      <c r="C1509" s="19"/>
      <c r="D1509" s="19"/>
      <c r="E1509" s="20">
        <f>SUM('DS1'!$A$378:$A$379)</f>
        <v>25680</v>
      </c>
      <c r="F1509" s="20">
        <v>0</v>
      </c>
      <c r="G1509" s="20">
        <v>25680</v>
      </c>
      <c r="H1509" s="20">
        <v>8105.25</v>
      </c>
      <c r="I1509" s="21">
        <v>8105.25</v>
      </c>
      <c r="J1509" s="21"/>
      <c r="K1509" s="21">
        <v>8105.25</v>
      </c>
      <c r="L1509" s="21"/>
      <c r="M1509" s="20">
        <v>8105.25</v>
      </c>
      <c r="N1509" s="20">
        <v>8105.25</v>
      </c>
      <c r="O1509" s="20">
        <v>17574.75</v>
      </c>
      <c r="P1509" s="22">
        <v>68.4375</v>
      </c>
      <c r="Q1509" s="22">
        <v>31.5625</v>
      </c>
    </row>
    <row r="1510" spans="1:17" ht="12.75" customHeight="1">
      <c r="A1510" s="23"/>
      <c r="B1510" s="24"/>
      <c r="C1510" s="24"/>
      <c r="D1510" s="24"/>
      <c r="E1510" s="23"/>
      <c r="F1510" s="20">
        <v>0</v>
      </c>
      <c r="G1510" s="20">
        <v>0</v>
      </c>
      <c r="H1510" s="20">
        <v>0</v>
      </c>
      <c r="I1510" s="21">
        <v>0</v>
      </c>
      <c r="J1510" s="21"/>
      <c r="K1510" s="21">
        <v>0</v>
      </c>
      <c r="L1510" s="21"/>
      <c r="M1510" s="20">
        <v>0</v>
      </c>
      <c r="N1510" s="20">
        <v>0</v>
      </c>
      <c r="O1510" s="20">
        <v>17574.75</v>
      </c>
      <c r="P1510" s="22">
        <v>31.5625</v>
      </c>
      <c r="Q1510" s="22">
        <v>100</v>
      </c>
    </row>
    <row r="1511" spans="1:17" ht="20.25" customHeight="1">
      <c r="A1511" s="23"/>
      <c r="B1511" s="24"/>
      <c r="C1511" s="24"/>
      <c r="D1511" s="24"/>
      <c r="E1511" s="23"/>
      <c r="F1511" s="23"/>
      <c r="G1511" s="23"/>
      <c r="H1511" s="23"/>
      <c r="I1511" s="24"/>
      <c r="J1511" s="24"/>
      <c r="K1511" s="24"/>
      <c r="L1511" s="24"/>
      <c r="M1511" s="23"/>
      <c r="N1511" s="23"/>
      <c r="O1511" s="23"/>
      <c r="P1511" s="23"/>
      <c r="Q1511" s="23"/>
    </row>
    <row r="1512" spans="1:17" ht="12.75" customHeight="1">
      <c r="A1512" s="10"/>
      <c r="B1512" s="11" t="s">
        <v>946</v>
      </c>
      <c r="C1512" s="11"/>
      <c r="D1512" s="11"/>
      <c r="E1512" s="12">
        <f>ROUND(120000,2)</f>
        <v>120000</v>
      </c>
      <c r="F1512" s="12">
        <f>ROUND(-34880,2)</f>
        <v>-34880</v>
      </c>
      <c r="G1512" s="12">
        <f>ROUND(85120,2)</f>
        <v>85120</v>
      </c>
      <c r="H1512" s="12">
        <f>ROUND(60325.57,2)</f>
        <v>60325.57</v>
      </c>
      <c r="I1512" s="13">
        <f>ROUND(60325.57,2)</f>
        <v>60325.57</v>
      </c>
      <c r="J1512" s="13"/>
      <c r="K1512" s="13">
        <f>ROUND(44286.27,2)</f>
        <v>44286.27</v>
      </c>
      <c r="L1512" s="13"/>
      <c r="M1512" s="12">
        <f>ROUND(44286.27,2)</f>
        <v>44286.27</v>
      </c>
      <c r="N1512" s="12">
        <f>ROUND(43476.27,2)</f>
        <v>43476.27</v>
      </c>
      <c r="O1512" s="12">
        <f>ROUND(24259.43,2)</f>
        <v>24259.43</v>
      </c>
      <c r="P1512" s="14">
        <v>28.50027020676692</v>
      </c>
      <c r="Q1512" s="14">
        <v>52.02804276315789</v>
      </c>
    </row>
    <row r="1513" spans="1:17" ht="12.75" customHeight="1">
      <c r="A1513" s="15" t="s">
        <v>947</v>
      </c>
      <c r="B1513" s="15"/>
      <c r="C1513" s="15"/>
      <c r="D1513" s="15"/>
      <c r="E1513" s="16" t="s">
        <v>906</v>
      </c>
      <c r="F1513" s="17">
        <f>ROUND(0,2)</f>
        <v>0</v>
      </c>
      <c r="G1513" s="17">
        <f>ROUND(535,2)</f>
        <v>535</v>
      </c>
      <c r="H1513" s="17">
        <f>ROUND(0,2)</f>
        <v>0</v>
      </c>
      <c r="I1513" s="17">
        <f>ROUND(16039.3,2)</f>
        <v>16039.3</v>
      </c>
      <c r="J1513" s="17"/>
      <c r="K1513" s="17">
        <f>ROUND(0,2)</f>
        <v>0</v>
      </c>
      <c r="L1513" s="17"/>
      <c r="M1513" s="17">
        <f>ROUND(810,2)</f>
        <v>810</v>
      </c>
      <c r="N1513" s="17">
        <f>ROUND(0,2)</f>
        <v>0</v>
      </c>
      <c r="O1513" s="17">
        <f>ROUND(40833.73,2)</f>
        <v>40833.73</v>
      </c>
      <c r="P1513" s="18">
        <v>50.27130833333333</v>
      </c>
      <c r="Q1513" s="18">
        <v>98.17099069305227</v>
      </c>
    </row>
    <row r="1514" spans="1:17" ht="12.75" customHeight="1">
      <c r="A1514" s="19" t="s">
        <v>37</v>
      </c>
      <c r="B1514" s="19"/>
      <c r="C1514" s="19"/>
      <c r="D1514" s="19"/>
      <c r="E1514" s="20">
        <f>SUM('DS1'!$A$380)</f>
        <v>120000</v>
      </c>
      <c r="F1514" s="20">
        <v>-34880</v>
      </c>
      <c r="G1514" s="20">
        <v>85120</v>
      </c>
      <c r="H1514" s="20">
        <v>60325.57</v>
      </c>
      <c r="I1514" s="21">
        <v>60325.57</v>
      </c>
      <c r="J1514" s="21"/>
      <c r="K1514" s="21">
        <v>44286.27</v>
      </c>
      <c r="L1514" s="21"/>
      <c r="M1514" s="20">
        <v>44286.27</v>
      </c>
      <c r="N1514" s="20">
        <v>43476.27</v>
      </c>
      <c r="O1514" s="20">
        <v>24259.43</v>
      </c>
      <c r="P1514" s="22">
        <v>28.50027020676692</v>
      </c>
      <c r="Q1514" s="22">
        <v>52.02804276315789</v>
      </c>
    </row>
    <row r="1515" spans="1:17" ht="12.75" customHeight="1">
      <c r="A1515" s="23"/>
      <c r="B1515" s="24"/>
      <c r="C1515" s="24"/>
      <c r="D1515" s="24"/>
      <c r="E1515" s="23"/>
      <c r="F1515" s="20">
        <v>0</v>
      </c>
      <c r="G1515" s="20">
        <v>535</v>
      </c>
      <c r="H1515" s="20">
        <v>0</v>
      </c>
      <c r="I1515" s="21">
        <v>16039.300000000003</v>
      </c>
      <c r="J1515" s="21"/>
      <c r="K1515" s="21">
        <v>0</v>
      </c>
      <c r="L1515" s="21"/>
      <c r="M1515" s="20">
        <v>810</v>
      </c>
      <c r="N1515" s="20">
        <v>0</v>
      </c>
      <c r="O1515" s="20">
        <v>40833.73</v>
      </c>
      <c r="P1515" s="22">
        <v>70.87120535714286</v>
      </c>
      <c r="Q1515" s="22">
        <v>98.17099069305227</v>
      </c>
    </row>
    <row r="1516" spans="1:17" ht="20.25" customHeight="1">
      <c r="A1516" s="23"/>
      <c r="B1516" s="24"/>
      <c r="C1516" s="24"/>
      <c r="D1516" s="24"/>
      <c r="E1516" s="23"/>
      <c r="F1516" s="23"/>
      <c r="G1516" s="23"/>
      <c r="H1516" s="23"/>
      <c r="I1516" s="24"/>
      <c r="J1516" s="24"/>
      <c r="K1516" s="24"/>
      <c r="L1516" s="24"/>
      <c r="M1516" s="23"/>
      <c r="N1516" s="23"/>
      <c r="O1516" s="23"/>
      <c r="P1516" s="23"/>
      <c r="Q1516" s="23"/>
    </row>
    <row r="1517" spans="1:17" ht="12.75" customHeight="1">
      <c r="A1517" s="10"/>
      <c r="B1517" s="11" t="s">
        <v>948</v>
      </c>
      <c r="C1517" s="11"/>
      <c r="D1517" s="11"/>
      <c r="E1517" s="12">
        <f>ROUND(0,2)</f>
        <v>0</v>
      </c>
      <c r="F1517" s="12">
        <f>ROUND(4880,2)</f>
        <v>4880</v>
      </c>
      <c r="G1517" s="12">
        <f>ROUND(4880,2)</f>
        <v>4880</v>
      </c>
      <c r="H1517" s="12">
        <f>ROUND(4880,2)</f>
        <v>4880</v>
      </c>
      <c r="I1517" s="13">
        <f>ROUND(4880,2)</f>
        <v>4880</v>
      </c>
      <c r="J1517" s="13"/>
      <c r="K1517" s="13">
        <f>ROUND(4880,2)</f>
        <v>4880</v>
      </c>
      <c r="L1517" s="13"/>
      <c r="M1517" s="12">
        <f>ROUND(4880,2)</f>
        <v>4880</v>
      </c>
      <c r="N1517" s="12">
        <f>ROUND(4880,2)</f>
        <v>4880</v>
      </c>
      <c r="O1517" s="12">
        <f aca="true" t="shared" si="911" ref="O1517:O1518">ROUND(0,2)</f>
        <v>0</v>
      </c>
      <c r="P1517" s="14">
        <v>0</v>
      </c>
      <c r="Q1517" s="14">
        <v>100</v>
      </c>
    </row>
    <row r="1518" spans="1:17" ht="12.75" customHeight="1">
      <c r="A1518" s="15" t="s">
        <v>949</v>
      </c>
      <c r="B1518" s="15"/>
      <c r="C1518" s="15"/>
      <c r="D1518" s="15"/>
      <c r="E1518" s="16" t="s">
        <v>950</v>
      </c>
      <c r="F1518" s="17">
        <f>ROUND(0,2)</f>
        <v>0</v>
      </c>
      <c r="G1518" s="17">
        <f>ROUND(0,2)</f>
        <v>0</v>
      </c>
      <c r="H1518" s="17">
        <f>ROUND(0,2)</f>
        <v>0</v>
      </c>
      <c r="I1518" s="17">
        <f>ROUND(0,2)</f>
        <v>0</v>
      </c>
      <c r="J1518" s="17"/>
      <c r="K1518" s="17">
        <f>ROUND(0,2)</f>
        <v>0</v>
      </c>
      <c r="L1518" s="17"/>
      <c r="M1518" s="17">
        <f>ROUND(0,2)</f>
        <v>0</v>
      </c>
      <c r="N1518" s="17">
        <f>ROUND(0,2)</f>
        <v>0</v>
      </c>
      <c r="O1518" s="17">
        <f t="shared" si="911"/>
        <v>0</v>
      </c>
      <c r="P1518" s="18">
        <v>100</v>
      </c>
      <c r="Q1518" s="18">
        <v>100</v>
      </c>
    </row>
    <row r="1519" spans="1:17" ht="12.75" customHeight="1">
      <c r="A1519" s="19" t="s">
        <v>680</v>
      </c>
      <c r="B1519" s="19"/>
      <c r="C1519" s="19"/>
      <c r="D1519" s="19"/>
      <c r="E1519" s="20">
        <f>SUM('DS1'!$A$381)</f>
        <v>0</v>
      </c>
      <c r="F1519" s="20">
        <v>4880</v>
      </c>
      <c r="G1519" s="20">
        <v>4880</v>
      </c>
      <c r="H1519" s="20">
        <v>4880</v>
      </c>
      <c r="I1519" s="21">
        <v>4880</v>
      </c>
      <c r="J1519" s="21"/>
      <c r="K1519" s="21">
        <v>4880</v>
      </c>
      <c r="L1519" s="21"/>
      <c r="M1519" s="20">
        <v>4880</v>
      </c>
      <c r="N1519" s="20">
        <v>4880</v>
      </c>
      <c r="O1519" s="20">
        <v>0</v>
      </c>
      <c r="P1519" s="22">
        <v>0</v>
      </c>
      <c r="Q1519" s="22">
        <v>100</v>
      </c>
    </row>
    <row r="1520" spans="1:17" ht="12.75" customHeight="1">
      <c r="A1520" s="23"/>
      <c r="B1520" s="24"/>
      <c r="C1520" s="24"/>
      <c r="D1520" s="24"/>
      <c r="E1520" s="23"/>
      <c r="F1520" s="20">
        <v>0</v>
      </c>
      <c r="G1520" s="20">
        <v>0</v>
      </c>
      <c r="H1520" s="20">
        <v>0</v>
      </c>
      <c r="I1520" s="21">
        <v>0</v>
      </c>
      <c r="J1520" s="21"/>
      <c r="K1520" s="21">
        <v>0</v>
      </c>
      <c r="L1520" s="21"/>
      <c r="M1520" s="20">
        <v>0</v>
      </c>
      <c r="N1520" s="20">
        <v>0</v>
      </c>
      <c r="O1520" s="20">
        <v>0</v>
      </c>
      <c r="P1520" s="22">
        <v>100</v>
      </c>
      <c r="Q1520" s="22">
        <v>100</v>
      </c>
    </row>
    <row r="1521" spans="1:17" ht="20.25" customHeight="1">
      <c r="A1521" s="23"/>
      <c r="B1521" s="24"/>
      <c r="C1521" s="24"/>
      <c r="D1521" s="24"/>
      <c r="E1521" s="23"/>
      <c r="F1521" s="23"/>
      <c r="G1521" s="23"/>
      <c r="H1521" s="23"/>
      <c r="I1521" s="24"/>
      <c r="J1521" s="24"/>
      <c r="K1521" s="24"/>
      <c r="L1521" s="24"/>
      <c r="M1521" s="23"/>
      <c r="N1521" s="23"/>
      <c r="O1521" s="23"/>
      <c r="P1521" s="23"/>
      <c r="Q1521" s="23"/>
    </row>
    <row r="1522" spans="1:17" ht="12.75" customHeight="1">
      <c r="A1522" s="19" t="s">
        <v>951</v>
      </c>
      <c r="B1522" s="19"/>
      <c r="C1522" s="19"/>
      <c r="D1522" s="19"/>
      <c r="E1522" s="20">
        <f>SUM('DS1'!$A$373:$A$381)</f>
        <v>400324.97</v>
      </c>
      <c r="F1522" s="20">
        <v>-27811.7</v>
      </c>
      <c r="G1522" s="20">
        <v>372513.27</v>
      </c>
      <c r="H1522" s="20">
        <v>302011.07</v>
      </c>
      <c r="I1522" s="21">
        <v>302011.07</v>
      </c>
      <c r="J1522" s="21"/>
      <c r="K1522" s="21">
        <v>285971.77</v>
      </c>
      <c r="L1522" s="21"/>
      <c r="M1522" s="20">
        <v>285971.77</v>
      </c>
      <c r="N1522" s="20">
        <v>285123.52</v>
      </c>
      <c r="O1522" s="20">
        <v>69967.2</v>
      </c>
      <c r="P1522" s="22">
        <v>18.782471829795487</v>
      </c>
      <c r="Q1522" s="22">
        <v>76.76821016335875</v>
      </c>
    </row>
    <row r="1523" spans="1:17" ht="12.75" customHeight="1">
      <c r="A1523" s="23"/>
      <c r="B1523" s="24"/>
      <c r="C1523" s="24"/>
      <c r="D1523" s="24"/>
      <c r="E1523" s="23"/>
      <c r="F1523" s="20">
        <v>0</v>
      </c>
      <c r="G1523" s="20">
        <v>535</v>
      </c>
      <c r="H1523" s="20">
        <v>0</v>
      </c>
      <c r="I1523" s="21">
        <v>16039.300000000003</v>
      </c>
      <c r="J1523" s="21"/>
      <c r="K1523" s="21">
        <v>0</v>
      </c>
      <c r="L1523" s="21"/>
      <c r="M1523" s="20">
        <v>848.25</v>
      </c>
      <c r="N1523" s="20">
        <v>0</v>
      </c>
      <c r="O1523" s="20">
        <v>86541.5</v>
      </c>
      <c r="P1523" s="22">
        <v>81.07390912543868</v>
      </c>
      <c r="Q1523" s="22">
        <v>99.70337981262975</v>
      </c>
    </row>
    <row r="1524" spans="1:17" ht="18" customHeight="1">
      <c r="A1524" s="23"/>
      <c r="B1524" s="24"/>
      <c r="C1524" s="24"/>
      <c r="D1524" s="24"/>
      <c r="E1524" s="23"/>
      <c r="F1524" s="23"/>
      <c r="G1524" s="23"/>
      <c r="H1524" s="23"/>
      <c r="I1524" s="24"/>
      <c r="J1524" s="24"/>
      <c r="K1524" s="24"/>
      <c r="L1524" s="24"/>
      <c r="M1524" s="23"/>
      <c r="N1524" s="23"/>
      <c r="O1524" s="23"/>
      <c r="P1524" s="23"/>
      <c r="Q1524" s="23"/>
    </row>
    <row r="1525" spans="1:17" ht="12.75" customHeight="1">
      <c r="A1525" s="10"/>
      <c r="B1525" s="11" t="s">
        <v>952</v>
      </c>
      <c r="C1525" s="11"/>
      <c r="D1525" s="11"/>
      <c r="E1525" s="12">
        <f>ROUND(100000,2)</f>
        <v>100000</v>
      </c>
      <c r="F1525" s="12">
        <f aca="true" t="shared" si="912" ref="F1525:F1526">ROUND(0,2)</f>
        <v>0</v>
      </c>
      <c r="G1525" s="12">
        <f>ROUND(100000,2)</f>
        <v>100000</v>
      </c>
      <c r="H1525" s="12">
        <f aca="true" t="shared" si="913" ref="H1525:H1526">ROUND(0,2)</f>
        <v>0</v>
      </c>
      <c r="I1525" s="13">
        <f aca="true" t="shared" si="914" ref="I1525:I1526">ROUND(0,2)</f>
        <v>0</v>
      </c>
      <c r="J1525" s="13"/>
      <c r="K1525" s="13">
        <f aca="true" t="shared" si="915" ref="K1525:K1526">ROUND(0,2)</f>
        <v>0</v>
      </c>
      <c r="L1525" s="13"/>
      <c r="M1525" s="12">
        <f aca="true" t="shared" si="916" ref="M1525:M1526">ROUND(0,2)</f>
        <v>0</v>
      </c>
      <c r="N1525" s="12">
        <f aca="true" t="shared" si="917" ref="N1525:N1526">ROUND(0,2)</f>
        <v>0</v>
      </c>
      <c r="O1525" s="12">
        <f aca="true" t="shared" si="918" ref="O1525:O1526">ROUND(100000,2)</f>
        <v>100000</v>
      </c>
      <c r="P1525" s="14">
        <v>100</v>
      </c>
      <c r="Q1525" s="14">
        <v>0</v>
      </c>
    </row>
    <row r="1526" spans="1:17" ht="12.75" customHeight="1">
      <c r="A1526" s="15" t="s">
        <v>953</v>
      </c>
      <c r="B1526" s="15"/>
      <c r="C1526" s="15"/>
      <c r="D1526" s="15"/>
      <c r="E1526" s="16" t="s">
        <v>954</v>
      </c>
      <c r="F1526" s="17">
        <f t="shared" si="912"/>
        <v>0</v>
      </c>
      <c r="G1526" s="17">
        <f>ROUND(0,2)</f>
        <v>0</v>
      </c>
      <c r="H1526" s="17">
        <f t="shared" si="913"/>
        <v>0</v>
      </c>
      <c r="I1526" s="17">
        <f t="shared" si="914"/>
        <v>0</v>
      </c>
      <c r="J1526" s="17"/>
      <c r="K1526" s="17">
        <f t="shared" si="915"/>
        <v>0</v>
      </c>
      <c r="L1526" s="17"/>
      <c r="M1526" s="17">
        <f t="shared" si="916"/>
        <v>0</v>
      </c>
      <c r="N1526" s="17">
        <f t="shared" si="917"/>
        <v>0</v>
      </c>
      <c r="O1526" s="17">
        <f t="shared" si="918"/>
        <v>100000</v>
      </c>
      <c r="P1526" s="18">
        <v>0</v>
      </c>
      <c r="Q1526" s="18">
        <v>0</v>
      </c>
    </row>
    <row r="1527" spans="1:17" ht="12.75" customHeight="1">
      <c r="A1527" s="19" t="s">
        <v>37</v>
      </c>
      <c r="B1527" s="19"/>
      <c r="C1527" s="19"/>
      <c r="D1527" s="19"/>
      <c r="E1527" s="20">
        <f>SUM('DS1'!$A$382)</f>
        <v>100000</v>
      </c>
      <c r="F1527" s="20">
        <v>0</v>
      </c>
      <c r="G1527" s="20">
        <v>100000</v>
      </c>
      <c r="H1527" s="20">
        <v>0</v>
      </c>
      <c r="I1527" s="21">
        <v>0</v>
      </c>
      <c r="J1527" s="21"/>
      <c r="K1527" s="21">
        <v>0</v>
      </c>
      <c r="L1527" s="21"/>
      <c r="M1527" s="20">
        <v>0</v>
      </c>
      <c r="N1527" s="20">
        <v>0</v>
      </c>
      <c r="O1527" s="20">
        <v>100000</v>
      </c>
      <c r="P1527" s="22">
        <v>100</v>
      </c>
      <c r="Q1527" s="22">
        <v>0</v>
      </c>
    </row>
    <row r="1528" spans="1:17" ht="12.75" customHeight="1">
      <c r="A1528" s="23"/>
      <c r="B1528" s="24"/>
      <c r="C1528" s="24"/>
      <c r="D1528" s="24"/>
      <c r="E1528" s="23"/>
      <c r="F1528" s="20">
        <v>0</v>
      </c>
      <c r="G1528" s="20">
        <v>0</v>
      </c>
      <c r="H1528" s="20">
        <v>0</v>
      </c>
      <c r="I1528" s="21">
        <v>0</v>
      </c>
      <c r="J1528" s="21"/>
      <c r="K1528" s="21">
        <v>0</v>
      </c>
      <c r="L1528" s="21"/>
      <c r="M1528" s="20">
        <v>0</v>
      </c>
      <c r="N1528" s="20">
        <v>0</v>
      </c>
      <c r="O1528" s="20">
        <v>100000</v>
      </c>
      <c r="P1528" s="22">
        <v>0</v>
      </c>
      <c r="Q1528" s="22">
        <v>0</v>
      </c>
    </row>
    <row r="1529" spans="1:17" ht="20.25" customHeight="1">
      <c r="A1529" s="23"/>
      <c r="B1529" s="24"/>
      <c r="C1529" s="24"/>
      <c r="D1529" s="24"/>
      <c r="E1529" s="23"/>
      <c r="F1529" s="23"/>
      <c r="G1529" s="23"/>
      <c r="H1529" s="23"/>
      <c r="I1529" s="24"/>
      <c r="J1529" s="24"/>
      <c r="K1529" s="24"/>
      <c r="L1529" s="24"/>
      <c r="M1529" s="23"/>
      <c r="N1529" s="23"/>
      <c r="O1529" s="23"/>
      <c r="P1529" s="23"/>
      <c r="Q1529" s="23"/>
    </row>
    <row r="1530" spans="1:17" ht="12.75" customHeight="1">
      <c r="A1530" s="19" t="s">
        <v>955</v>
      </c>
      <c r="B1530" s="19"/>
      <c r="C1530" s="19"/>
      <c r="D1530" s="19"/>
      <c r="E1530" s="20">
        <f>SUM('DS1'!$A$382)</f>
        <v>100000</v>
      </c>
      <c r="F1530" s="20">
        <v>0</v>
      </c>
      <c r="G1530" s="20">
        <v>100000</v>
      </c>
      <c r="H1530" s="20">
        <v>0</v>
      </c>
      <c r="I1530" s="21">
        <v>0</v>
      </c>
      <c r="J1530" s="21"/>
      <c r="K1530" s="21">
        <v>0</v>
      </c>
      <c r="L1530" s="21"/>
      <c r="M1530" s="20">
        <v>0</v>
      </c>
      <c r="N1530" s="20">
        <v>0</v>
      </c>
      <c r="O1530" s="20">
        <v>100000</v>
      </c>
      <c r="P1530" s="22">
        <v>100</v>
      </c>
      <c r="Q1530" s="22">
        <v>0</v>
      </c>
    </row>
    <row r="1531" spans="1:17" ht="12.75" customHeight="1">
      <c r="A1531" s="23"/>
      <c r="B1531" s="24"/>
      <c r="C1531" s="24"/>
      <c r="D1531" s="24"/>
      <c r="E1531" s="23"/>
      <c r="F1531" s="20">
        <v>0</v>
      </c>
      <c r="G1531" s="20">
        <v>0</v>
      </c>
      <c r="H1531" s="20">
        <v>0</v>
      </c>
      <c r="I1531" s="21">
        <v>0</v>
      </c>
      <c r="J1531" s="21"/>
      <c r="K1531" s="21">
        <v>0</v>
      </c>
      <c r="L1531" s="21"/>
      <c r="M1531" s="20">
        <v>0</v>
      </c>
      <c r="N1531" s="20">
        <v>0</v>
      </c>
      <c r="O1531" s="20">
        <v>100000</v>
      </c>
      <c r="P1531" s="22">
        <v>0</v>
      </c>
      <c r="Q1531" s="22">
        <v>0</v>
      </c>
    </row>
    <row r="1532" spans="1:17" ht="18" customHeight="1">
      <c r="A1532" s="23"/>
      <c r="B1532" s="24"/>
      <c r="C1532" s="24"/>
      <c r="D1532" s="24"/>
      <c r="E1532" s="23"/>
      <c r="F1532" s="23"/>
      <c r="G1532" s="23"/>
      <c r="H1532" s="23"/>
      <c r="I1532" s="24"/>
      <c r="J1532" s="24"/>
      <c r="K1532" s="24"/>
      <c r="L1532" s="24"/>
      <c r="M1532" s="23"/>
      <c r="N1532" s="23"/>
      <c r="O1532" s="23"/>
      <c r="P1532" s="23"/>
      <c r="Q1532" s="23"/>
    </row>
    <row r="1533" spans="1:17" ht="12.75" customHeight="1">
      <c r="A1533" s="10"/>
      <c r="B1533" s="11" t="s">
        <v>956</v>
      </c>
      <c r="C1533" s="11"/>
      <c r="D1533" s="11"/>
      <c r="E1533" s="12">
        <f>ROUND(5000,2)</f>
        <v>5000</v>
      </c>
      <c r="F1533" s="12">
        <f aca="true" t="shared" si="919" ref="F1533:F1534">ROUND(0,2)</f>
        <v>0</v>
      </c>
      <c r="G1533" s="12">
        <f>ROUND(5000,2)</f>
        <v>5000</v>
      </c>
      <c r="H1533" s="12">
        <f>ROUND(1575,2)</f>
        <v>1575</v>
      </c>
      <c r="I1533" s="13">
        <f>ROUND(1575,2)</f>
        <v>1575</v>
      </c>
      <c r="J1533" s="13"/>
      <c r="K1533" s="13">
        <f>ROUND(1575,2)</f>
        <v>1575</v>
      </c>
      <c r="L1533" s="13"/>
      <c r="M1533" s="12">
        <f>ROUND(1575,2)</f>
        <v>1575</v>
      </c>
      <c r="N1533" s="12">
        <f>ROUND(1575,2)</f>
        <v>1575</v>
      </c>
      <c r="O1533" s="12">
        <f aca="true" t="shared" si="920" ref="O1533:O1534">ROUND(3425,2)</f>
        <v>3425</v>
      </c>
      <c r="P1533" s="14">
        <v>68.5</v>
      </c>
      <c r="Q1533" s="14">
        <v>31.5</v>
      </c>
    </row>
    <row r="1534" spans="1:17" ht="12.75" customHeight="1">
      <c r="A1534" s="15" t="s">
        <v>957</v>
      </c>
      <c r="B1534" s="15"/>
      <c r="C1534" s="15"/>
      <c r="D1534" s="15"/>
      <c r="E1534" s="16" t="s">
        <v>958</v>
      </c>
      <c r="F1534" s="17">
        <f t="shared" si="919"/>
        <v>0</v>
      </c>
      <c r="G1534" s="17">
        <f>ROUND(0,2)</f>
        <v>0</v>
      </c>
      <c r="H1534" s="17">
        <f>ROUND(0,2)</f>
        <v>0</v>
      </c>
      <c r="I1534" s="17">
        <f>ROUND(0,2)</f>
        <v>0</v>
      </c>
      <c r="J1534" s="17"/>
      <c r="K1534" s="17">
        <f>ROUND(0,2)</f>
        <v>0</v>
      </c>
      <c r="L1534" s="17"/>
      <c r="M1534" s="17">
        <f>ROUND(0,2)</f>
        <v>0</v>
      </c>
      <c r="N1534" s="17">
        <f>ROUND(0,2)</f>
        <v>0</v>
      </c>
      <c r="O1534" s="17">
        <f t="shared" si="920"/>
        <v>3425</v>
      </c>
      <c r="P1534" s="18">
        <v>31.5</v>
      </c>
      <c r="Q1534" s="18">
        <v>100</v>
      </c>
    </row>
    <row r="1535" spans="1:17" ht="12.75" customHeight="1">
      <c r="A1535" s="19" t="s">
        <v>173</v>
      </c>
      <c r="B1535" s="19"/>
      <c r="C1535" s="19"/>
      <c r="D1535" s="19"/>
      <c r="E1535" s="20">
        <f>SUM('DS1'!$A$383)</f>
        <v>5000</v>
      </c>
      <c r="F1535" s="20">
        <v>0</v>
      </c>
      <c r="G1535" s="20">
        <v>5000</v>
      </c>
      <c r="H1535" s="20">
        <v>1575</v>
      </c>
      <c r="I1535" s="21">
        <v>1575</v>
      </c>
      <c r="J1535" s="21"/>
      <c r="K1535" s="21">
        <v>1575</v>
      </c>
      <c r="L1535" s="21"/>
      <c r="M1535" s="20">
        <v>1575</v>
      </c>
      <c r="N1535" s="20">
        <v>1575</v>
      </c>
      <c r="O1535" s="20">
        <v>3425</v>
      </c>
      <c r="P1535" s="22">
        <v>68.5</v>
      </c>
      <c r="Q1535" s="22">
        <v>31.5</v>
      </c>
    </row>
    <row r="1536" spans="1:17" ht="12.75" customHeight="1">
      <c r="A1536" s="23"/>
      <c r="B1536" s="24"/>
      <c r="C1536" s="24"/>
      <c r="D1536" s="24"/>
      <c r="E1536" s="23"/>
      <c r="F1536" s="20">
        <v>0</v>
      </c>
      <c r="G1536" s="20">
        <v>0</v>
      </c>
      <c r="H1536" s="20">
        <v>0</v>
      </c>
      <c r="I1536" s="21">
        <v>0</v>
      </c>
      <c r="J1536" s="21"/>
      <c r="K1536" s="21">
        <v>0</v>
      </c>
      <c r="L1536" s="21"/>
      <c r="M1536" s="20">
        <v>0</v>
      </c>
      <c r="N1536" s="20">
        <v>0</v>
      </c>
      <c r="O1536" s="20">
        <v>3425</v>
      </c>
      <c r="P1536" s="22">
        <v>31.5</v>
      </c>
      <c r="Q1536" s="22">
        <v>100</v>
      </c>
    </row>
    <row r="1537" spans="1:17" ht="20.25" customHeight="1">
      <c r="A1537" s="23"/>
      <c r="B1537" s="24"/>
      <c r="C1537" s="24"/>
      <c r="D1537" s="24"/>
      <c r="E1537" s="23"/>
      <c r="F1537" s="23"/>
      <c r="G1537" s="23"/>
      <c r="H1537" s="23"/>
      <c r="I1537" s="24"/>
      <c r="J1537" s="24"/>
      <c r="K1537" s="24"/>
      <c r="L1537" s="24"/>
      <c r="M1537" s="23"/>
      <c r="N1537" s="23"/>
      <c r="O1537" s="23"/>
      <c r="P1537" s="23"/>
      <c r="Q1537" s="23"/>
    </row>
    <row r="1538" spans="1:17" ht="12.75" customHeight="1">
      <c r="A1538" s="10"/>
      <c r="B1538" s="11" t="s">
        <v>959</v>
      </c>
      <c r="C1538" s="11"/>
      <c r="D1538" s="11"/>
      <c r="E1538" s="12">
        <f>ROUND(1000,2)</f>
        <v>1000</v>
      </c>
      <c r="F1538" s="12">
        <f aca="true" t="shared" si="921" ref="F1538:F1539">ROUND(0,2)</f>
        <v>0</v>
      </c>
      <c r="G1538" s="12">
        <f>ROUND(1000,2)</f>
        <v>1000</v>
      </c>
      <c r="H1538" s="12">
        <f aca="true" t="shared" si="922" ref="H1538:H1539">ROUND(0,2)</f>
        <v>0</v>
      </c>
      <c r="I1538" s="13">
        <f aca="true" t="shared" si="923" ref="I1538:I1539">ROUND(0,2)</f>
        <v>0</v>
      </c>
      <c r="J1538" s="13"/>
      <c r="K1538" s="13">
        <f aca="true" t="shared" si="924" ref="K1538:K1539">ROUND(0,2)</f>
        <v>0</v>
      </c>
      <c r="L1538" s="13"/>
      <c r="M1538" s="12">
        <f aca="true" t="shared" si="925" ref="M1538:M1539">ROUND(0,2)</f>
        <v>0</v>
      </c>
      <c r="N1538" s="12">
        <f aca="true" t="shared" si="926" ref="N1538:N1539">ROUND(0,2)</f>
        <v>0</v>
      </c>
      <c r="O1538" s="12">
        <f aca="true" t="shared" si="927" ref="O1538:O1539">ROUND(1000,2)</f>
        <v>1000</v>
      </c>
      <c r="P1538" s="14">
        <v>100</v>
      </c>
      <c r="Q1538" s="14">
        <v>0</v>
      </c>
    </row>
    <row r="1539" spans="1:17" ht="12.75" customHeight="1">
      <c r="A1539" s="15" t="s">
        <v>960</v>
      </c>
      <c r="B1539" s="15"/>
      <c r="C1539" s="15"/>
      <c r="D1539" s="15"/>
      <c r="E1539" s="16" t="s">
        <v>961</v>
      </c>
      <c r="F1539" s="17">
        <f t="shared" si="921"/>
        <v>0</v>
      </c>
      <c r="G1539" s="17">
        <f>ROUND(0,2)</f>
        <v>0</v>
      </c>
      <c r="H1539" s="17">
        <f t="shared" si="922"/>
        <v>0</v>
      </c>
      <c r="I1539" s="17">
        <f t="shared" si="923"/>
        <v>0</v>
      </c>
      <c r="J1539" s="17"/>
      <c r="K1539" s="17">
        <f t="shared" si="924"/>
        <v>0</v>
      </c>
      <c r="L1539" s="17"/>
      <c r="M1539" s="17">
        <f t="shared" si="925"/>
        <v>0</v>
      </c>
      <c r="N1539" s="17">
        <f t="shared" si="926"/>
        <v>0</v>
      </c>
      <c r="O1539" s="17">
        <f t="shared" si="927"/>
        <v>1000</v>
      </c>
      <c r="P1539" s="18">
        <v>0</v>
      </c>
      <c r="Q1539" s="18">
        <v>0</v>
      </c>
    </row>
    <row r="1540" spans="1:17" ht="12.75" customHeight="1">
      <c r="A1540" s="19" t="s">
        <v>92</v>
      </c>
      <c r="B1540" s="19"/>
      <c r="C1540" s="19"/>
      <c r="D1540" s="19"/>
      <c r="E1540" s="20">
        <f>SUM('DS1'!$A$384)</f>
        <v>1000</v>
      </c>
      <c r="F1540" s="20">
        <v>0</v>
      </c>
      <c r="G1540" s="20">
        <v>1000</v>
      </c>
      <c r="H1540" s="20">
        <v>0</v>
      </c>
      <c r="I1540" s="21">
        <v>0</v>
      </c>
      <c r="J1540" s="21"/>
      <c r="K1540" s="21">
        <v>0</v>
      </c>
      <c r="L1540" s="21"/>
      <c r="M1540" s="20">
        <v>0</v>
      </c>
      <c r="N1540" s="20">
        <v>0</v>
      </c>
      <c r="O1540" s="20">
        <v>1000</v>
      </c>
      <c r="P1540" s="22">
        <v>100</v>
      </c>
      <c r="Q1540" s="22">
        <v>0</v>
      </c>
    </row>
    <row r="1541" spans="1:17" ht="12.75" customHeight="1">
      <c r="A1541" s="23"/>
      <c r="B1541" s="24"/>
      <c r="C1541" s="24"/>
      <c r="D1541" s="24"/>
      <c r="E1541" s="23"/>
      <c r="F1541" s="20">
        <v>0</v>
      </c>
      <c r="G1541" s="20">
        <v>0</v>
      </c>
      <c r="H1541" s="20">
        <v>0</v>
      </c>
      <c r="I1541" s="21">
        <v>0</v>
      </c>
      <c r="J1541" s="21"/>
      <c r="K1541" s="21">
        <v>0</v>
      </c>
      <c r="L1541" s="21"/>
      <c r="M1541" s="20">
        <v>0</v>
      </c>
      <c r="N1541" s="20">
        <v>0</v>
      </c>
      <c r="O1541" s="20">
        <v>1000</v>
      </c>
      <c r="P1541" s="22">
        <v>0</v>
      </c>
      <c r="Q1541" s="22">
        <v>0</v>
      </c>
    </row>
    <row r="1542" spans="1:17" ht="20.25" customHeight="1">
      <c r="A1542" s="23"/>
      <c r="B1542" s="24"/>
      <c r="C1542" s="24"/>
      <c r="D1542" s="24"/>
      <c r="E1542" s="23"/>
      <c r="F1542" s="23"/>
      <c r="G1542" s="23"/>
      <c r="H1542" s="23"/>
      <c r="I1542" s="24"/>
      <c r="J1542" s="24"/>
      <c r="K1542" s="24"/>
      <c r="L1542" s="24"/>
      <c r="M1542" s="23"/>
      <c r="N1542" s="23"/>
      <c r="O1542" s="23"/>
      <c r="P1542" s="23"/>
      <c r="Q1542" s="23"/>
    </row>
    <row r="1543" spans="1:17" ht="12.75" customHeight="1">
      <c r="A1543" s="10" t="s">
        <v>83</v>
      </c>
      <c r="B1543" s="11" t="s">
        <v>962</v>
      </c>
      <c r="C1543" s="11"/>
      <c r="D1543" s="11"/>
      <c r="E1543" s="12">
        <f>ROUND(0,2)</f>
        <v>0</v>
      </c>
      <c r="F1543" s="12">
        <f aca="true" t="shared" si="928" ref="F1543:F1544">ROUND(49375.59,2)</f>
        <v>49375.59</v>
      </c>
      <c r="G1543" s="12">
        <f>ROUND(49375.59,2)</f>
        <v>49375.59</v>
      </c>
      <c r="H1543" s="12">
        <f>ROUND(49375.59,2)</f>
        <v>49375.59</v>
      </c>
      <c r="I1543" s="13">
        <f>ROUND(49375.59,2)</f>
        <v>49375.59</v>
      </c>
      <c r="J1543" s="13"/>
      <c r="K1543" s="13">
        <f>ROUND(48484.65,2)</f>
        <v>48484.65</v>
      </c>
      <c r="L1543" s="13"/>
      <c r="M1543" s="12">
        <f>ROUND(48484.65,2)</f>
        <v>48484.65</v>
      </c>
      <c r="N1543" s="12">
        <f>ROUND(48484.65,2)</f>
        <v>48484.65</v>
      </c>
      <c r="O1543" s="12">
        <f>ROUND(0,2)</f>
        <v>0</v>
      </c>
      <c r="P1543" s="14">
        <v>0</v>
      </c>
      <c r="Q1543" s="14">
        <v>98.19558611856588</v>
      </c>
    </row>
    <row r="1544" spans="1:17" ht="12.75" customHeight="1">
      <c r="A1544" s="15" t="s">
        <v>963</v>
      </c>
      <c r="B1544" s="15"/>
      <c r="C1544" s="15"/>
      <c r="D1544" s="15"/>
      <c r="E1544" s="16" t="s">
        <v>964</v>
      </c>
      <c r="F1544" s="17">
        <f t="shared" si="928"/>
        <v>49375.59</v>
      </c>
      <c r="G1544" s="17">
        <f>ROUND(0,2)</f>
        <v>0</v>
      </c>
      <c r="H1544" s="17">
        <f aca="true" t="shared" si="929" ref="H1544:H1548">ROUND(0,2)</f>
        <v>0</v>
      </c>
      <c r="I1544" s="17">
        <f>ROUND(890.939999999995,2)</f>
        <v>890.94</v>
      </c>
      <c r="J1544" s="17"/>
      <c r="K1544" s="17">
        <f aca="true" t="shared" si="930" ref="K1544:K1548">ROUND(0,2)</f>
        <v>0</v>
      </c>
      <c r="L1544" s="17"/>
      <c r="M1544" s="17">
        <f aca="true" t="shared" si="931" ref="M1544:M1548">ROUND(0,2)</f>
        <v>0</v>
      </c>
      <c r="N1544" s="17">
        <f aca="true" t="shared" si="932" ref="N1544:N1548">ROUND(0,2)</f>
        <v>0</v>
      </c>
      <c r="O1544" s="17">
        <f>ROUND(890.939999999995,2)</f>
        <v>890.94</v>
      </c>
      <c r="P1544" s="18">
        <v>100</v>
      </c>
      <c r="Q1544" s="18">
        <v>100</v>
      </c>
    </row>
    <row r="1545" spans="1:17" ht="12.75" customHeight="1">
      <c r="A1545" s="10"/>
      <c r="B1545" s="11" t="s">
        <v>965</v>
      </c>
      <c r="C1545" s="11"/>
      <c r="D1545" s="11"/>
      <c r="E1545" s="12">
        <f>ROUND(0,2)</f>
        <v>0</v>
      </c>
      <c r="F1545" s="12">
        <f>ROUND(25419.8,2)</f>
        <v>25419.8</v>
      </c>
      <c r="G1545" s="12">
        <f aca="true" t="shared" si="933" ref="G1545:G1546">ROUND(25419.8,2)</f>
        <v>25419.8</v>
      </c>
      <c r="H1545" s="12">
        <f t="shared" si="929"/>
        <v>0</v>
      </c>
      <c r="I1545" s="13">
        <f aca="true" t="shared" si="934" ref="I1545:I1548">ROUND(0,2)</f>
        <v>0</v>
      </c>
      <c r="J1545" s="13"/>
      <c r="K1545" s="13">
        <f t="shared" si="930"/>
        <v>0</v>
      </c>
      <c r="L1545" s="13"/>
      <c r="M1545" s="12">
        <f t="shared" si="931"/>
        <v>0</v>
      </c>
      <c r="N1545" s="12">
        <f t="shared" si="932"/>
        <v>0</v>
      </c>
      <c r="O1545" s="12">
        <f>ROUND(0,2)</f>
        <v>0</v>
      </c>
      <c r="P1545" s="14">
        <v>0</v>
      </c>
      <c r="Q1545" s="14">
        <v>0</v>
      </c>
    </row>
    <row r="1546" spans="1:17" ht="12.75" customHeight="1">
      <c r="A1546" s="15" t="s">
        <v>966</v>
      </c>
      <c r="B1546" s="15"/>
      <c r="C1546" s="15"/>
      <c r="D1546" s="15"/>
      <c r="E1546" s="16" t="s">
        <v>967</v>
      </c>
      <c r="F1546" s="17">
        <f>ROUND(0,2)</f>
        <v>0</v>
      </c>
      <c r="G1546" s="17">
        <f t="shared" si="933"/>
        <v>25419.8</v>
      </c>
      <c r="H1546" s="17">
        <f t="shared" si="929"/>
        <v>0</v>
      </c>
      <c r="I1546" s="17">
        <f t="shared" si="934"/>
        <v>0</v>
      </c>
      <c r="J1546" s="17"/>
      <c r="K1546" s="17">
        <f t="shared" si="930"/>
        <v>0</v>
      </c>
      <c r="L1546" s="17"/>
      <c r="M1546" s="17">
        <f t="shared" si="931"/>
        <v>0</v>
      </c>
      <c r="N1546" s="17">
        <f t="shared" si="932"/>
        <v>0</v>
      </c>
      <c r="O1546" s="17">
        <f>ROUND(25419.8,2)</f>
        <v>25419.8</v>
      </c>
      <c r="P1546" s="18">
        <v>0</v>
      </c>
      <c r="Q1546" s="18">
        <v>0</v>
      </c>
    </row>
    <row r="1547" spans="1:17" ht="12.75" customHeight="1">
      <c r="A1547" s="10"/>
      <c r="B1547" s="11" t="s">
        <v>968</v>
      </c>
      <c r="C1547" s="11"/>
      <c r="D1547" s="11"/>
      <c r="E1547" s="12">
        <f>ROUND(0,2)</f>
        <v>0</v>
      </c>
      <c r="F1547" s="12">
        <f>ROUND(31964.72,2)</f>
        <v>31964.72</v>
      </c>
      <c r="G1547" s="12">
        <f>ROUND(31964.72,2)</f>
        <v>31964.72</v>
      </c>
      <c r="H1547" s="12">
        <f t="shared" si="929"/>
        <v>0</v>
      </c>
      <c r="I1547" s="13">
        <f t="shared" si="934"/>
        <v>0</v>
      </c>
      <c r="J1547" s="13"/>
      <c r="K1547" s="13">
        <f t="shared" si="930"/>
        <v>0</v>
      </c>
      <c r="L1547" s="13"/>
      <c r="M1547" s="12">
        <f t="shared" si="931"/>
        <v>0</v>
      </c>
      <c r="N1547" s="12">
        <f t="shared" si="932"/>
        <v>0</v>
      </c>
      <c r="O1547" s="12">
        <f aca="true" t="shared" si="935" ref="O1547:O1548">ROUND(31964.72,2)</f>
        <v>31964.72</v>
      </c>
      <c r="P1547" s="14">
        <v>100</v>
      </c>
      <c r="Q1547" s="14">
        <v>0</v>
      </c>
    </row>
    <row r="1548" spans="1:17" ht="12.75" customHeight="1">
      <c r="A1548" s="15" t="s">
        <v>969</v>
      </c>
      <c r="B1548" s="15"/>
      <c r="C1548" s="15"/>
      <c r="D1548" s="15"/>
      <c r="E1548" s="16" t="s">
        <v>967</v>
      </c>
      <c r="F1548" s="17">
        <f>ROUND(0,2)</f>
        <v>0</v>
      </c>
      <c r="G1548" s="17">
        <f>ROUND(0,2)</f>
        <v>0</v>
      </c>
      <c r="H1548" s="17">
        <f t="shared" si="929"/>
        <v>0</v>
      </c>
      <c r="I1548" s="17">
        <f t="shared" si="934"/>
        <v>0</v>
      </c>
      <c r="J1548" s="17"/>
      <c r="K1548" s="17">
        <f t="shared" si="930"/>
        <v>0</v>
      </c>
      <c r="L1548" s="17"/>
      <c r="M1548" s="17">
        <f t="shared" si="931"/>
        <v>0</v>
      </c>
      <c r="N1548" s="17">
        <f t="shared" si="932"/>
        <v>0</v>
      </c>
      <c r="O1548" s="17">
        <f t="shared" si="935"/>
        <v>31964.72</v>
      </c>
      <c r="P1548" s="18">
        <v>0</v>
      </c>
      <c r="Q1548" s="18">
        <v>0</v>
      </c>
    </row>
    <row r="1549" spans="1:17" ht="12.75" customHeight="1">
      <c r="A1549" s="10" t="s">
        <v>83</v>
      </c>
      <c r="B1549" s="11" t="s">
        <v>970</v>
      </c>
      <c r="C1549" s="11"/>
      <c r="D1549" s="11"/>
      <c r="E1549" s="12">
        <f>ROUND(0,2)</f>
        <v>0</v>
      </c>
      <c r="F1549" s="12">
        <f aca="true" t="shared" si="936" ref="F1549:F1550">ROUND(37158.14,2)</f>
        <v>37158.14</v>
      </c>
      <c r="G1549" s="12">
        <f>ROUND(37158.14,2)</f>
        <v>37158.14</v>
      </c>
      <c r="H1549" s="12">
        <f>ROUND(37158.13,2)</f>
        <v>37158.13</v>
      </c>
      <c r="I1549" s="13">
        <f>ROUND(37158.13,2)</f>
        <v>37158.13</v>
      </c>
      <c r="J1549" s="13"/>
      <c r="K1549" s="13">
        <f>ROUND(37158.13,2)</f>
        <v>37158.13</v>
      </c>
      <c r="L1549" s="13"/>
      <c r="M1549" s="12">
        <f>ROUND(37158.13,2)</f>
        <v>37158.13</v>
      </c>
      <c r="N1549" s="12">
        <f>ROUND(37158.13,2)</f>
        <v>37158.13</v>
      </c>
      <c r="O1549" s="12">
        <f>ROUND(0.01,2)</f>
        <v>0.01</v>
      </c>
      <c r="P1549" s="14">
        <v>2.6912003668644343E-05</v>
      </c>
      <c r="Q1549" s="14">
        <v>99.99997308799632</v>
      </c>
    </row>
    <row r="1550" spans="1:17" ht="12.75" customHeight="1">
      <c r="A1550" s="15" t="s">
        <v>971</v>
      </c>
      <c r="B1550" s="15"/>
      <c r="C1550" s="15"/>
      <c r="D1550" s="15"/>
      <c r="E1550" s="16" t="s">
        <v>972</v>
      </c>
      <c r="F1550" s="17">
        <f t="shared" si="936"/>
        <v>37158.14</v>
      </c>
      <c r="G1550" s="17">
        <f>ROUND(0,2)</f>
        <v>0</v>
      </c>
      <c r="H1550" s="17">
        <f aca="true" t="shared" si="937" ref="H1550:H1552">ROUND(0,2)</f>
        <v>0</v>
      </c>
      <c r="I1550" s="17">
        <f aca="true" t="shared" si="938" ref="I1550:I1552">ROUND(0,2)</f>
        <v>0</v>
      </c>
      <c r="J1550" s="17"/>
      <c r="K1550" s="17">
        <f aca="true" t="shared" si="939" ref="K1550:K1552">ROUND(0,2)</f>
        <v>0</v>
      </c>
      <c r="L1550" s="17"/>
      <c r="M1550" s="17">
        <f aca="true" t="shared" si="940" ref="M1550:M1552">ROUND(0,2)</f>
        <v>0</v>
      </c>
      <c r="N1550" s="17">
        <f aca="true" t="shared" si="941" ref="N1550:N1560">ROUND(0,2)</f>
        <v>0</v>
      </c>
      <c r="O1550" s="17">
        <f>ROUND(0.0100000000020373,2)</f>
        <v>0.01</v>
      </c>
      <c r="P1550" s="18">
        <v>99.99997308799632</v>
      </c>
      <c r="Q1550" s="18">
        <v>100</v>
      </c>
    </row>
    <row r="1551" spans="1:17" ht="12.75" customHeight="1">
      <c r="A1551" s="10"/>
      <c r="B1551" s="11" t="s">
        <v>973</v>
      </c>
      <c r="C1551" s="11"/>
      <c r="D1551" s="11"/>
      <c r="E1551" s="12">
        <f>ROUND(0,2)</f>
        <v>0</v>
      </c>
      <c r="F1551" s="12">
        <f>ROUND(224255.68,2)</f>
        <v>224255.68</v>
      </c>
      <c r="G1551" s="12">
        <f aca="true" t="shared" si="942" ref="G1551:G1552">ROUND(224255.68,2)</f>
        <v>224255.68</v>
      </c>
      <c r="H1551" s="12">
        <f t="shared" si="937"/>
        <v>0</v>
      </c>
      <c r="I1551" s="13">
        <f t="shared" si="938"/>
        <v>0</v>
      </c>
      <c r="J1551" s="13"/>
      <c r="K1551" s="13">
        <f t="shared" si="939"/>
        <v>0</v>
      </c>
      <c r="L1551" s="13"/>
      <c r="M1551" s="12">
        <f t="shared" si="940"/>
        <v>0</v>
      </c>
      <c r="N1551" s="12">
        <f t="shared" si="941"/>
        <v>0</v>
      </c>
      <c r="O1551" s="12">
        <f>ROUND(0,2)</f>
        <v>0</v>
      </c>
      <c r="P1551" s="14">
        <v>0</v>
      </c>
      <c r="Q1551" s="14">
        <v>0</v>
      </c>
    </row>
    <row r="1552" spans="1:17" ht="12.75" customHeight="1">
      <c r="A1552" s="15" t="s">
        <v>974</v>
      </c>
      <c r="B1552" s="15"/>
      <c r="C1552" s="15"/>
      <c r="D1552" s="15"/>
      <c r="E1552" s="16" t="s">
        <v>967</v>
      </c>
      <c r="F1552" s="17">
        <f>ROUND(0,2)</f>
        <v>0</v>
      </c>
      <c r="G1552" s="17">
        <f t="shared" si="942"/>
        <v>224255.68</v>
      </c>
      <c r="H1552" s="17">
        <f t="shared" si="937"/>
        <v>0</v>
      </c>
      <c r="I1552" s="17">
        <f t="shared" si="938"/>
        <v>0</v>
      </c>
      <c r="J1552" s="17"/>
      <c r="K1552" s="17">
        <f t="shared" si="939"/>
        <v>0</v>
      </c>
      <c r="L1552" s="17"/>
      <c r="M1552" s="17">
        <f t="shared" si="940"/>
        <v>0</v>
      </c>
      <c r="N1552" s="17">
        <f t="shared" si="941"/>
        <v>0</v>
      </c>
      <c r="O1552" s="17">
        <f>ROUND(224255.68,2)</f>
        <v>224255.68</v>
      </c>
      <c r="P1552" s="18">
        <v>0</v>
      </c>
      <c r="Q1552" s="18">
        <v>0</v>
      </c>
    </row>
    <row r="1553" spans="1:17" ht="12.75" customHeight="1">
      <c r="A1553" s="10" t="s">
        <v>83</v>
      </c>
      <c r="B1553" s="11" t="s">
        <v>975</v>
      </c>
      <c r="C1553" s="11"/>
      <c r="D1553" s="11"/>
      <c r="E1553" s="12">
        <f>ROUND(0,2)</f>
        <v>0</v>
      </c>
      <c r="F1553" s="12">
        <f aca="true" t="shared" si="943" ref="F1553:F1554">ROUND(278521,2)</f>
        <v>278521</v>
      </c>
      <c r="G1553" s="12">
        <f>ROUND(278521,2)</f>
        <v>278521</v>
      </c>
      <c r="H1553" s="12">
        <f>ROUND(278521,2)</f>
        <v>278521</v>
      </c>
      <c r="I1553" s="13">
        <f>ROUND(278521,2)</f>
        <v>278521</v>
      </c>
      <c r="J1553" s="13"/>
      <c r="K1553" s="13">
        <f>ROUND(214795.69,2)</f>
        <v>214795.69</v>
      </c>
      <c r="L1553" s="13"/>
      <c r="M1553" s="12">
        <f aca="true" t="shared" si="944" ref="M1553:M1554">ROUND(214795.69,2)</f>
        <v>214795.69</v>
      </c>
      <c r="N1553" s="12">
        <f t="shared" si="941"/>
        <v>0</v>
      </c>
      <c r="O1553" s="12">
        <f>ROUND(0,2)</f>
        <v>0</v>
      </c>
      <c r="P1553" s="14">
        <v>0</v>
      </c>
      <c r="Q1553" s="14">
        <v>77.12010584480164</v>
      </c>
    </row>
    <row r="1554" spans="1:17" ht="12.75" customHeight="1">
      <c r="A1554" s="15" t="s">
        <v>976</v>
      </c>
      <c r="B1554" s="15"/>
      <c r="C1554" s="15"/>
      <c r="D1554" s="15"/>
      <c r="E1554" s="16" t="s">
        <v>977</v>
      </c>
      <c r="F1554" s="17">
        <f t="shared" si="943"/>
        <v>278521</v>
      </c>
      <c r="G1554" s="17">
        <f>ROUND(0,2)</f>
        <v>0</v>
      </c>
      <c r="H1554" s="17">
        <f>ROUND(0,2)</f>
        <v>0</v>
      </c>
      <c r="I1554" s="17">
        <f>ROUND(63725.31,2)</f>
        <v>63725.31</v>
      </c>
      <c r="J1554" s="17"/>
      <c r="K1554" s="17">
        <f aca="true" t="shared" si="945" ref="K1554:K1560">ROUND(0,2)</f>
        <v>0</v>
      </c>
      <c r="L1554" s="17"/>
      <c r="M1554" s="17">
        <f t="shared" si="944"/>
        <v>214795.69</v>
      </c>
      <c r="N1554" s="17">
        <f t="shared" si="941"/>
        <v>0</v>
      </c>
      <c r="O1554" s="17">
        <f>ROUND(63725.31,2)</f>
        <v>63725.31</v>
      </c>
      <c r="P1554" s="18">
        <v>100</v>
      </c>
      <c r="Q1554" s="18">
        <v>0</v>
      </c>
    </row>
    <row r="1555" spans="1:17" ht="12.75" customHeight="1">
      <c r="A1555" s="10" t="s">
        <v>83</v>
      </c>
      <c r="B1555" s="11" t="s">
        <v>978</v>
      </c>
      <c r="C1555" s="11"/>
      <c r="D1555" s="11"/>
      <c r="E1555" s="12">
        <f>ROUND(0,2)</f>
        <v>0</v>
      </c>
      <c r="F1555" s="12">
        <f aca="true" t="shared" si="946" ref="F1555:F1556">ROUND(8667,2)</f>
        <v>8667</v>
      </c>
      <c r="G1555" s="12">
        <f>ROUND(8667,2)</f>
        <v>8667</v>
      </c>
      <c r="H1555" s="12">
        <f>ROUND(8667,2)</f>
        <v>8667</v>
      </c>
      <c r="I1555" s="13">
        <f aca="true" t="shared" si="947" ref="I1555:I1556">ROUND(8667,2)</f>
        <v>8667</v>
      </c>
      <c r="J1555" s="13"/>
      <c r="K1555" s="13">
        <f t="shared" si="945"/>
        <v>0</v>
      </c>
      <c r="L1555" s="13"/>
      <c r="M1555" s="12">
        <f aca="true" t="shared" si="948" ref="M1555:M1560">ROUND(0,2)</f>
        <v>0</v>
      </c>
      <c r="N1555" s="12">
        <f t="shared" si="941"/>
        <v>0</v>
      </c>
      <c r="O1555" s="12">
        <f>ROUND(0,2)</f>
        <v>0</v>
      </c>
      <c r="P1555" s="14">
        <v>0</v>
      </c>
      <c r="Q1555" s="14">
        <v>0</v>
      </c>
    </row>
    <row r="1556" spans="1:17" ht="12.75" customHeight="1">
      <c r="A1556" s="15" t="s">
        <v>979</v>
      </c>
      <c r="B1556" s="15"/>
      <c r="C1556" s="15"/>
      <c r="D1556" s="15"/>
      <c r="E1556" s="16" t="s">
        <v>980</v>
      </c>
      <c r="F1556" s="17">
        <f t="shared" si="946"/>
        <v>8667</v>
      </c>
      <c r="G1556" s="17">
        <f>ROUND(0,2)</f>
        <v>0</v>
      </c>
      <c r="H1556" s="17">
        <f>ROUND(0,2)</f>
        <v>0</v>
      </c>
      <c r="I1556" s="17">
        <f t="shared" si="947"/>
        <v>8667</v>
      </c>
      <c r="J1556" s="17"/>
      <c r="K1556" s="17">
        <f t="shared" si="945"/>
        <v>0</v>
      </c>
      <c r="L1556" s="17"/>
      <c r="M1556" s="17">
        <f t="shared" si="948"/>
        <v>0</v>
      </c>
      <c r="N1556" s="17">
        <f t="shared" si="941"/>
        <v>0</v>
      </c>
      <c r="O1556" s="17">
        <f>ROUND(8667,2)</f>
        <v>8667</v>
      </c>
      <c r="P1556" s="18">
        <v>100</v>
      </c>
      <c r="Q1556" s="18">
        <v>0</v>
      </c>
    </row>
    <row r="1557" spans="1:17" ht="12.75" customHeight="1">
      <c r="A1557" s="10" t="s">
        <v>83</v>
      </c>
      <c r="B1557" s="11" t="s">
        <v>981</v>
      </c>
      <c r="C1557" s="11"/>
      <c r="D1557" s="11"/>
      <c r="E1557" s="12">
        <f>ROUND(0,2)</f>
        <v>0</v>
      </c>
      <c r="F1557" s="12">
        <f aca="true" t="shared" si="949" ref="F1557:F1558">ROUND(167798.88,2)</f>
        <v>167798.88</v>
      </c>
      <c r="G1557" s="12">
        <f>ROUND(167798.88,2)</f>
        <v>167798.88</v>
      </c>
      <c r="H1557" s="12">
        <f>ROUND(84757.13,2)</f>
        <v>84757.13</v>
      </c>
      <c r="I1557" s="13">
        <f aca="true" t="shared" si="950" ref="I1557:I1558">ROUND(84757.13,2)</f>
        <v>84757.13</v>
      </c>
      <c r="J1557" s="13"/>
      <c r="K1557" s="13">
        <f t="shared" si="945"/>
        <v>0</v>
      </c>
      <c r="L1557" s="13"/>
      <c r="M1557" s="12">
        <f t="shared" si="948"/>
        <v>0</v>
      </c>
      <c r="N1557" s="12">
        <f t="shared" si="941"/>
        <v>0</v>
      </c>
      <c r="O1557" s="12">
        <f>ROUND(48958.26,2)</f>
        <v>48958.26</v>
      </c>
      <c r="P1557" s="14">
        <v>29.17675016662805</v>
      </c>
      <c r="Q1557" s="14">
        <v>0</v>
      </c>
    </row>
    <row r="1558" spans="1:17" ht="12.75" customHeight="1">
      <c r="A1558" s="15" t="s">
        <v>982</v>
      </c>
      <c r="B1558" s="15"/>
      <c r="C1558" s="15"/>
      <c r="D1558" s="15"/>
      <c r="E1558" s="16" t="s">
        <v>983</v>
      </c>
      <c r="F1558" s="17">
        <f t="shared" si="949"/>
        <v>167798.88</v>
      </c>
      <c r="G1558" s="17">
        <f>ROUND(34083.49,2)</f>
        <v>34083.49</v>
      </c>
      <c r="H1558" s="17">
        <f aca="true" t="shared" si="951" ref="H1558:H1560">ROUND(0,2)</f>
        <v>0</v>
      </c>
      <c r="I1558" s="17">
        <f t="shared" si="950"/>
        <v>84757.13</v>
      </c>
      <c r="J1558" s="17"/>
      <c r="K1558" s="17">
        <f t="shared" si="945"/>
        <v>0</v>
      </c>
      <c r="L1558" s="17"/>
      <c r="M1558" s="17">
        <f t="shared" si="948"/>
        <v>0</v>
      </c>
      <c r="N1558" s="17">
        <f t="shared" si="941"/>
        <v>0</v>
      </c>
      <c r="O1558" s="17">
        <f>ROUND(167798.88,2)</f>
        <v>167798.88</v>
      </c>
      <c r="P1558" s="18">
        <v>50.5111416715058</v>
      </c>
      <c r="Q1558" s="18">
        <v>0</v>
      </c>
    </row>
    <row r="1559" spans="1:17" ht="12.75" customHeight="1">
      <c r="A1559" s="10" t="s">
        <v>83</v>
      </c>
      <c r="B1559" s="11" t="s">
        <v>984</v>
      </c>
      <c r="C1559" s="11"/>
      <c r="D1559" s="11"/>
      <c r="E1559" s="12">
        <f>ROUND(0,2)</f>
        <v>0</v>
      </c>
      <c r="F1559" s="12">
        <f aca="true" t="shared" si="952" ref="F1559:F1560">ROUND(77252.99,2)</f>
        <v>77252.99</v>
      </c>
      <c r="G1559" s="12">
        <f>ROUND(77252.99,2)</f>
        <v>77252.99</v>
      </c>
      <c r="H1559" s="12">
        <f t="shared" si="951"/>
        <v>0</v>
      </c>
      <c r="I1559" s="13">
        <f aca="true" t="shared" si="953" ref="I1559:I1560">ROUND(0,2)</f>
        <v>0</v>
      </c>
      <c r="J1559" s="13"/>
      <c r="K1559" s="13">
        <f t="shared" si="945"/>
        <v>0</v>
      </c>
      <c r="L1559" s="13"/>
      <c r="M1559" s="12">
        <f t="shared" si="948"/>
        <v>0</v>
      </c>
      <c r="N1559" s="12">
        <f t="shared" si="941"/>
        <v>0</v>
      </c>
      <c r="O1559" s="12">
        <f aca="true" t="shared" si="954" ref="O1559:O1560">ROUND(77252.99,2)</f>
        <v>77252.99</v>
      </c>
      <c r="P1559" s="14">
        <v>100</v>
      </c>
      <c r="Q1559" s="14">
        <v>0</v>
      </c>
    </row>
    <row r="1560" spans="1:17" ht="12.75" customHeight="1">
      <c r="A1560" s="15" t="s">
        <v>985</v>
      </c>
      <c r="B1560" s="15"/>
      <c r="C1560" s="15"/>
      <c r="D1560" s="15"/>
      <c r="E1560" s="16" t="s">
        <v>986</v>
      </c>
      <c r="F1560" s="17">
        <f t="shared" si="952"/>
        <v>77252.99</v>
      </c>
      <c r="G1560" s="17">
        <f>ROUND(0,2)</f>
        <v>0</v>
      </c>
      <c r="H1560" s="17">
        <f t="shared" si="951"/>
        <v>0</v>
      </c>
      <c r="I1560" s="17">
        <f t="shared" si="953"/>
        <v>0</v>
      </c>
      <c r="J1560" s="17"/>
      <c r="K1560" s="17">
        <f t="shared" si="945"/>
        <v>0</v>
      </c>
      <c r="L1560" s="17"/>
      <c r="M1560" s="17">
        <f t="shared" si="948"/>
        <v>0</v>
      </c>
      <c r="N1560" s="17">
        <f t="shared" si="941"/>
        <v>0</v>
      </c>
      <c r="O1560" s="17">
        <f t="shared" si="954"/>
        <v>77252.99</v>
      </c>
      <c r="P1560" s="18">
        <v>0</v>
      </c>
      <c r="Q1560" s="18">
        <v>0</v>
      </c>
    </row>
    <row r="1561" spans="1:17" ht="12.75" customHeight="1">
      <c r="A1561" s="10" t="s">
        <v>83</v>
      </c>
      <c r="B1561" s="11" t="s">
        <v>987</v>
      </c>
      <c r="C1561" s="11"/>
      <c r="D1561" s="11"/>
      <c r="E1561" s="12">
        <f>ROUND(0,2)</f>
        <v>0</v>
      </c>
      <c r="F1561" s="12">
        <f aca="true" t="shared" si="955" ref="F1561:F1562">ROUND(23922.09,2)</f>
        <v>23922.09</v>
      </c>
      <c r="G1561" s="12">
        <f>ROUND(23922.09,2)</f>
        <v>23922.09</v>
      </c>
      <c r="H1561" s="12">
        <f>ROUND(23922.09,2)</f>
        <v>23922.09</v>
      </c>
      <c r="I1561" s="13">
        <f>ROUND(23922.09,2)</f>
        <v>23922.09</v>
      </c>
      <c r="J1561" s="13"/>
      <c r="K1561" s="13">
        <f>ROUND(23922.09,2)</f>
        <v>23922.09</v>
      </c>
      <c r="L1561" s="13"/>
      <c r="M1561" s="12">
        <f>ROUND(23922.09,2)</f>
        <v>23922.09</v>
      </c>
      <c r="N1561" s="12">
        <f>ROUND(23922.09,2)</f>
        <v>23922.09</v>
      </c>
      <c r="O1561" s="12">
        <f aca="true" t="shared" si="956" ref="O1561:O1567">ROUND(0,2)</f>
        <v>0</v>
      </c>
      <c r="P1561" s="14">
        <v>0</v>
      </c>
      <c r="Q1561" s="14">
        <v>100</v>
      </c>
    </row>
    <row r="1562" spans="1:17" ht="12.75" customHeight="1">
      <c r="A1562" s="15" t="s">
        <v>988</v>
      </c>
      <c r="B1562" s="15"/>
      <c r="C1562" s="15"/>
      <c r="D1562" s="15"/>
      <c r="E1562" s="16" t="s">
        <v>989</v>
      </c>
      <c r="F1562" s="17">
        <f t="shared" si="955"/>
        <v>23922.09</v>
      </c>
      <c r="G1562" s="17">
        <f>ROUND(0,2)</f>
        <v>0</v>
      </c>
      <c r="H1562" s="17">
        <f>ROUND(0,2)</f>
        <v>0</v>
      </c>
      <c r="I1562" s="17">
        <f>ROUND(0,2)</f>
        <v>0</v>
      </c>
      <c r="J1562" s="17"/>
      <c r="K1562" s="17">
        <f>ROUND(0,2)</f>
        <v>0</v>
      </c>
      <c r="L1562" s="17"/>
      <c r="M1562" s="17">
        <f>ROUND(0,2)</f>
        <v>0</v>
      </c>
      <c r="N1562" s="17">
        <f>ROUND(0,2)</f>
        <v>0</v>
      </c>
      <c r="O1562" s="17">
        <f t="shared" si="956"/>
        <v>0</v>
      </c>
      <c r="P1562" s="18">
        <v>100</v>
      </c>
      <c r="Q1562" s="18">
        <v>100</v>
      </c>
    </row>
    <row r="1563" spans="1:17" ht="12.75" customHeight="1">
      <c r="A1563" s="10" t="s">
        <v>83</v>
      </c>
      <c r="B1563" s="11" t="s">
        <v>990</v>
      </c>
      <c r="C1563" s="11"/>
      <c r="D1563" s="11"/>
      <c r="E1563" s="12">
        <f>ROUND(0,2)</f>
        <v>0</v>
      </c>
      <c r="F1563" s="12">
        <f aca="true" t="shared" si="957" ref="F1563:F1564">ROUND(9533.6,2)</f>
        <v>9533.6</v>
      </c>
      <c r="G1563" s="12">
        <f>ROUND(9533.6,2)</f>
        <v>9533.6</v>
      </c>
      <c r="H1563" s="12">
        <f>ROUND(9533.6,2)</f>
        <v>9533.6</v>
      </c>
      <c r="I1563" s="13">
        <f>ROUND(9533.6,2)</f>
        <v>9533.6</v>
      </c>
      <c r="J1563" s="13"/>
      <c r="K1563" s="13">
        <f>ROUND(9533.6,2)</f>
        <v>9533.6</v>
      </c>
      <c r="L1563" s="13"/>
      <c r="M1563" s="12">
        <f>ROUND(9533.6,2)</f>
        <v>9533.6</v>
      </c>
      <c r="N1563" s="12">
        <f>ROUND(9533.6,2)</f>
        <v>9533.6</v>
      </c>
      <c r="O1563" s="12">
        <f t="shared" si="956"/>
        <v>0</v>
      </c>
      <c r="P1563" s="14">
        <v>0</v>
      </c>
      <c r="Q1563" s="14">
        <v>100</v>
      </c>
    </row>
    <row r="1564" spans="1:17" ht="12.75" customHeight="1">
      <c r="A1564" s="15" t="s">
        <v>991</v>
      </c>
      <c r="B1564" s="15"/>
      <c r="C1564" s="15"/>
      <c r="D1564" s="15"/>
      <c r="E1564" s="16" t="s">
        <v>992</v>
      </c>
      <c r="F1564" s="17">
        <f t="shared" si="957"/>
        <v>9533.6</v>
      </c>
      <c r="G1564" s="17">
        <f>ROUND(0,2)</f>
        <v>0</v>
      </c>
      <c r="H1564" s="17">
        <f>ROUND(0,2)</f>
        <v>0</v>
      </c>
      <c r="I1564" s="17">
        <f>ROUND(0,2)</f>
        <v>0</v>
      </c>
      <c r="J1564" s="17"/>
      <c r="K1564" s="17">
        <f>ROUND(0,2)</f>
        <v>0</v>
      </c>
      <c r="L1564" s="17"/>
      <c r="M1564" s="17">
        <f>ROUND(0,2)</f>
        <v>0</v>
      </c>
      <c r="N1564" s="17">
        <f>ROUND(0,2)</f>
        <v>0</v>
      </c>
      <c r="O1564" s="17">
        <f t="shared" si="956"/>
        <v>0</v>
      </c>
      <c r="P1564" s="18">
        <v>100</v>
      </c>
      <c r="Q1564" s="18">
        <v>100</v>
      </c>
    </row>
    <row r="1565" spans="1:17" ht="12.75" customHeight="1">
      <c r="A1565" s="10" t="s">
        <v>83</v>
      </c>
      <c r="B1565" s="11" t="s">
        <v>993</v>
      </c>
      <c r="C1565" s="11"/>
      <c r="D1565" s="11"/>
      <c r="E1565" s="12">
        <f>ROUND(0,2)</f>
        <v>0</v>
      </c>
      <c r="F1565" s="12">
        <f aca="true" t="shared" si="958" ref="F1565:F1566">ROUND(41730,2)</f>
        <v>41730</v>
      </c>
      <c r="G1565" s="12">
        <f>ROUND(41730,2)</f>
        <v>41730</v>
      </c>
      <c r="H1565" s="12">
        <f>ROUND(41730,2)</f>
        <v>41730</v>
      </c>
      <c r="I1565" s="13">
        <f>ROUND(41730,2)</f>
        <v>41730</v>
      </c>
      <c r="J1565" s="13"/>
      <c r="K1565" s="13">
        <f>ROUND(41730,2)</f>
        <v>41730</v>
      </c>
      <c r="L1565" s="13"/>
      <c r="M1565" s="12">
        <f>ROUND(41730,2)</f>
        <v>41730</v>
      </c>
      <c r="N1565" s="12">
        <f>ROUND(41730,2)</f>
        <v>41730</v>
      </c>
      <c r="O1565" s="12">
        <f t="shared" si="956"/>
        <v>0</v>
      </c>
      <c r="P1565" s="14">
        <v>0</v>
      </c>
      <c r="Q1565" s="14">
        <v>100</v>
      </c>
    </row>
    <row r="1566" spans="1:17" ht="12.75" customHeight="1">
      <c r="A1566" s="15" t="s">
        <v>994</v>
      </c>
      <c r="B1566" s="15"/>
      <c r="C1566" s="15"/>
      <c r="D1566" s="15"/>
      <c r="E1566" s="16" t="s">
        <v>995</v>
      </c>
      <c r="F1566" s="17">
        <f t="shared" si="958"/>
        <v>41730</v>
      </c>
      <c r="G1566" s="17">
        <f>ROUND(0,2)</f>
        <v>0</v>
      </c>
      <c r="H1566" s="17">
        <f>ROUND(0,2)</f>
        <v>0</v>
      </c>
      <c r="I1566" s="17">
        <f>ROUND(0,2)</f>
        <v>0</v>
      </c>
      <c r="J1566" s="17"/>
      <c r="K1566" s="17">
        <f>ROUND(0,2)</f>
        <v>0</v>
      </c>
      <c r="L1566" s="17"/>
      <c r="M1566" s="17">
        <f>ROUND(0,2)</f>
        <v>0</v>
      </c>
      <c r="N1566" s="17">
        <f>ROUND(0,2)</f>
        <v>0</v>
      </c>
      <c r="O1566" s="17">
        <f t="shared" si="956"/>
        <v>0</v>
      </c>
      <c r="P1566" s="18">
        <v>100</v>
      </c>
      <c r="Q1566" s="18">
        <v>100</v>
      </c>
    </row>
    <row r="1567" spans="1:17" ht="12.75" customHeight="1">
      <c r="A1567" s="10" t="s">
        <v>83</v>
      </c>
      <c r="B1567" s="11" t="s">
        <v>996</v>
      </c>
      <c r="C1567" s="11"/>
      <c r="D1567" s="11"/>
      <c r="E1567" s="12">
        <f>ROUND(0,2)</f>
        <v>0</v>
      </c>
      <c r="F1567" s="12">
        <f aca="true" t="shared" si="959" ref="F1567:F1568">ROUND(13385.56,2)</f>
        <v>13385.56</v>
      </c>
      <c r="G1567" s="12">
        <f>ROUND(13385.56,2)</f>
        <v>13385.56</v>
      </c>
      <c r="H1567" s="12">
        <f>ROUND(13385.56,2)</f>
        <v>13385.56</v>
      </c>
      <c r="I1567" s="13">
        <f>ROUND(13385.56,2)</f>
        <v>13385.56</v>
      </c>
      <c r="J1567" s="13"/>
      <c r="K1567" s="13">
        <f>ROUND(12734.15,2)</f>
        <v>12734.15</v>
      </c>
      <c r="L1567" s="13"/>
      <c r="M1567" s="12">
        <f>ROUND(12734.15,2)</f>
        <v>12734.15</v>
      </c>
      <c r="N1567" s="12">
        <f>ROUND(12734.15,2)</f>
        <v>12734.15</v>
      </c>
      <c r="O1567" s="12">
        <f t="shared" si="956"/>
        <v>0</v>
      </c>
      <c r="P1567" s="14">
        <v>0</v>
      </c>
      <c r="Q1567" s="14">
        <v>95.13348713090824</v>
      </c>
    </row>
    <row r="1568" spans="1:17" ht="12.75" customHeight="1">
      <c r="A1568" s="15" t="s">
        <v>997</v>
      </c>
      <c r="B1568" s="15"/>
      <c r="C1568" s="15"/>
      <c r="D1568" s="15"/>
      <c r="E1568" s="16" t="s">
        <v>998</v>
      </c>
      <c r="F1568" s="17">
        <f t="shared" si="959"/>
        <v>13385.56</v>
      </c>
      <c r="G1568" s="17">
        <f>ROUND(0,2)</f>
        <v>0</v>
      </c>
      <c r="H1568" s="17">
        <f>ROUND(0,2)</f>
        <v>0</v>
      </c>
      <c r="I1568" s="17">
        <f>ROUND(651.41,2)</f>
        <v>651.41</v>
      </c>
      <c r="J1568" s="17"/>
      <c r="K1568" s="17">
        <f>ROUND(0,2)</f>
        <v>0</v>
      </c>
      <c r="L1568" s="17"/>
      <c r="M1568" s="17">
        <f>ROUND(0,2)</f>
        <v>0</v>
      </c>
      <c r="N1568" s="17">
        <f>ROUND(0,2)</f>
        <v>0</v>
      </c>
      <c r="O1568" s="17">
        <f>ROUND(651.41,2)</f>
        <v>651.41</v>
      </c>
      <c r="P1568" s="18">
        <v>100</v>
      </c>
      <c r="Q1568" s="18">
        <v>100</v>
      </c>
    </row>
    <row r="1569" spans="1:17" ht="12.75" customHeight="1">
      <c r="A1569" s="10" t="s">
        <v>83</v>
      </c>
      <c r="B1569" s="11" t="s">
        <v>999</v>
      </c>
      <c r="C1569" s="11"/>
      <c r="D1569" s="11"/>
      <c r="E1569" s="12">
        <f>ROUND(0,2)</f>
        <v>0</v>
      </c>
      <c r="F1569" s="12">
        <f aca="true" t="shared" si="960" ref="F1569:F1570">ROUND(23101.32,2)</f>
        <v>23101.32</v>
      </c>
      <c r="G1569" s="12">
        <f>ROUND(23101.32,2)</f>
        <v>23101.32</v>
      </c>
      <c r="H1569" s="12">
        <f>ROUND(23101.32,2)</f>
        <v>23101.32</v>
      </c>
      <c r="I1569" s="13">
        <f>ROUND(23101.32,2)</f>
        <v>23101.32</v>
      </c>
      <c r="J1569" s="13"/>
      <c r="K1569" s="13">
        <f>ROUND(23101.32,2)</f>
        <v>23101.32</v>
      </c>
      <c r="L1569" s="13"/>
      <c r="M1569" s="12">
        <f>ROUND(23101.32,2)</f>
        <v>23101.32</v>
      </c>
      <c r="N1569" s="12">
        <f>ROUND(23101.32,2)</f>
        <v>23101.32</v>
      </c>
      <c r="O1569" s="12">
        <f aca="true" t="shared" si="961" ref="O1569:O1571">ROUND(0,2)</f>
        <v>0</v>
      </c>
      <c r="P1569" s="14">
        <v>0</v>
      </c>
      <c r="Q1569" s="14">
        <v>100</v>
      </c>
    </row>
    <row r="1570" spans="1:17" ht="12.75" customHeight="1">
      <c r="A1570" s="15" t="s">
        <v>1000</v>
      </c>
      <c r="B1570" s="15"/>
      <c r="C1570" s="15"/>
      <c r="D1570" s="15"/>
      <c r="E1570" s="16" t="s">
        <v>1001</v>
      </c>
      <c r="F1570" s="17">
        <f t="shared" si="960"/>
        <v>23101.32</v>
      </c>
      <c r="G1570" s="17">
        <f>ROUND(0,2)</f>
        <v>0</v>
      </c>
      <c r="H1570" s="17">
        <f>ROUND(0,2)</f>
        <v>0</v>
      </c>
      <c r="I1570" s="17">
        <f>ROUND(0,2)</f>
        <v>0</v>
      </c>
      <c r="J1570" s="17"/>
      <c r="K1570" s="17">
        <f>ROUND(0,2)</f>
        <v>0</v>
      </c>
      <c r="L1570" s="17"/>
      <c r="M1570" s="17">
        <f>ROUND(0,2)</f>
        <v>0</v>
      </c>
      <c r="N1570" s="17">
        <f>ROUND(0,2)</f>
        <v>0</v>
      </c>
      <c r="O1570" s="17">
        <f t="shared" si="961"/>
        <v>0</v>
      </c>
      <c r="P1570" s="18">
        <v>100</v>
      </c>
      <c r="Q1570" s="18">
        <v>100</v>
      </c>
    </row>
    <row r="1571" spans="1:17" ht="12.75" customHeight="1">
      <c r="A1571" s="10" t="s">
        <v>83</v>
      </c>
      <c r="B1571" s="11" t="s">
        <v>1002</v>
      </c>
      <c r="C1571" s="11"/>
      <c r="D1571" s="11"/>
      <c r="E1571" s="12">
        <f>ROUND(0,2)</f>
        <v>0</v>
      </c>
      <c r="F1571" s="12">
        <f aca="true" t="shared" si="962" ref="F1571:F1572">ROUND(31990.44,2)</f>
        <v>31990.44</v>
      </c>
      <c r="G1571" s="12">
        <f>ROUND(31990.44,2)</f>
        <v>31990.44</v>
      </c>
      <c r="H1571" s="12">
        <f>ROUND(31990.44,2)</f>
        <v>31990.44</v>
      </c>
      <c r="I1571" s="13">
        <f>ROUND(31990.44,2)</f>
        <v>31990.44</v>
      </c>
      <c r="J1571" s="13"/>
      <c r="K1571" s="13">
        <f>ROUND(30487.57,2)</f>
        <v>30487.57</v>
      </c>
      <c r="L1571" s="13"/>
      <c r="M1571" s="12">
        <f>ROUND(30487.57,2)</f>
        <v>30487.57</v>
      </c>
      <c r="N1571" s="12">
        <f>ROUND(30487.57,2)</f>
        <v>30487.57</v>
      </c>
      <c r="O1571" s="12">
        <f t="shared" si="961"/>
        <v>0</v>
      </c>
      <c r="P1571" s="14">
        <v>0</v>
      </c>
      <c r="Q1571" s="14">
        <v>95.3021277606685</v>
      </c>
    </row>
    <row r="1572" spans="1:17" ht="12.75" customHeight="1">
      <c r="A1572" s="15" t="s">
        <v>1003</v>
      </c>
      <c r="B1572" s="15"/>
      <c r="C1572" s="15"/>
      <c r="D1572" s="15"/>
      <c r="E1572" s="16" t="s">
        <v>1004</v>
      </c>
      <c r="F1572" s="17">
        <f t="shared" si="962"/>
        <v>31990.44</v>
      </c>
      <c r="G1572" s="17">
        <f>ROUND(0,2)</f>
        <v>0</v>
      </c>
      <c r="H1572" s="17">
        <f>ROUND(0,2)</f>
        <v>0</v>
      </c>
      <c r="I1572" s="17">
        <f>ROUND(1502.87,2)</f>
        <v>1502.87</v>
      </c>
      <c r="J1572" s="17"/>
      <c r="K1572" s="17">
        <f>ROUND(0,2)</f>
        <v>0</v>
      </c>
      <c r="L1572" s="17"/>
      <c r="M1572" s="17">
        <f>ROUND(0,2)</f>
        <v>0</v>
      </c>
      <c r="N1572" s="17">
        <f>ROUND(0,2)</f>
        <v>0</v>
      </c>
      <c r="O1572" s="17">
        <f>ROUND(1502.87,2)</f>
        <v>1502.87</v>
      </c>
      <c r="P1572" s="18">
        <v>100</v>
      </c>
      <c r="Q1572" s="18">
        <v>100</v>
      </c>
    </row>
    <row r="1573" spans="1:17" ht="12.75" customHeight="1">
      <c r="A1573" s="10" t="s">
        <v>83</v>
      </c>
      <c r="B1573" s="11" t="s">
        <v>1005</v>
      </c>
      <c r="C1573" s="11"/>
      <c r="D1573" s="11"/>
      <c r="E1573" s="12">
        <f>ROUND(0,2)</f>
        <v>0</v>
      </c>
      <c r="F1573" s="12">
        <f aca="true" t="shared" si="963" ref="F1573:F1574">ROUND(29665.54,2)</f>
        <v>29665.54</v>
      </c>
      <c r="G1573" s="12">
        <f>ROUND(29665.54,2)</f>
        <v>29665.54</v>
      </c>
      <c r="H1573" s="12">
        <f>ROUND(29665.54,2)</f>
        <v>29665.54</v>
      </c>
      <c r="I1573" s="13">
        <f>ROUND(29665.54,2)</f>
        <v>29665.54</v>
      </c>
      <c r="J1573" s="13"/>
      <c r="K1573" s="13">
        <f>ROUND(29665.54,2)</f>
        <v>29665.54</v>
      </c>
      <c r="L1573" s="13"/>
      <c r="M1573" s="12">
        <f>ROUND(29665.54,2)</f>
        <v>29665.54</v>
      </c>
      <c r="N1573" s="12">
        <f>ROUND(29665.54,2)</f>
        <v>29665.54</v>
      </c>
      <c r="O1573" s="12">
        <f aca="true" t="shared" si="964" ref="O1573:O1574">ROUND(0,2)</f>
        <v>0</v>
      </c>
      <c r="P1573" s="14">
        <v>0</v>
      </c>
      <c r="Q1573" s="14">
        <v>100</v>
      </c>
    </row>
    <row r="1574" spans="1:17" ht="12.75" customHeight="1">
      <c r="A1574" s="15" t="s">
        <v>1006</v>
      </c>
      <c r="B1574" s="15"/>
      <c r="C1574" s="15"/>
      <c r="D1574" s="15"/>
      <c r="E1574" s="16" t="s">
        <v>1007</v>
      </c>
      <c r="F1574" s="17">
        <f t="shared" si="963"/>
        <v>29665.54</v>
      </c>
      <c r="G1574" s="17">
        <f>ROUND(0,2)</f>
        <v>0</v>
      </c>
      <c r="H1574" s="17">
        <f>ROUND(0,2)</f>
        <v>0</v>
      </c>
      <c r="I1574" s="17">
        <f>ROUND(0,2)</f>
        <v>0</v>
      </c>
      <c r="J1574" s="17"/>
      <c r="K1574" s="17">
        <f>ROUND(0,2)</f>
        <v>0</v>
      </c>
      <c r="L1574" s="17"/>
      <c r="M1574" s="17">
        <f>ROUND(0,2)</f>
        <v>0</v>
      </c>
      <c r="N1574" s="17">
        <f>ROUND(0,2)</f>
        <v>0</v>
      </c>
      <c r="O1574" s="17">
        <f t="shared" si="964"/>
        <v>0</v>
      </c>
      <c r="P1574" s="18">
        <v>100</v>
      </c>
      <c r="Q1574" s="18">
        <v>100</v>
      </c>
    </row>
    <row r="1575" spans="1:17" ht="12.75" customHeight="1">
      <c r="A1575" s="19" t="s">
        <v>210</v>
      </c>
      <c r="B1575" s="19"/>
      <c r="C1575" s="19"/>
      <c r="D1575" s="19"/>
      <c r="E1575" s="20">
        <f>SUM('DS1'!$A$385:$A$400)</f>
        <v>0</v>
      </c>
      <c r="F1575" s="20">
        <v>1073742.3499999999</v>
      </c>
      <c r="G1575" s="20">
        <v>1073742.3499999999</v>
      </c>
      <c r="H1575" s="20">
        <v>631807.4</v>
      </c>
      <c r="I1575" s="21">
        <v>631807.4</v>
      </c>
      <c r="J1575" s="21"/>
      <c r="K1575" s="21">
        <v>471612.74</v>
      </c>
      <c r="L1575" s="21"/>
      <c r="M1575" s="20">
        <v>471612.74</v>
      </c>
      <c r="N1575" s="20">
        <v>256817.05</v>
      </c>
      <c r="O1575" s="20">
        <v>158175.98</v>
      </c>
      <c r="P1575" s="22">
        <v>14.731278877097473</v>
      </c>
      <c r="Q1575" s="22">
        <v>43.922337607341284</v>
      </c>
    </row>
    <row r="1576" spans="1:17" ht="12.75" customHeight="1">
      <c r="A1576" s="23"/>
      <c r="B1576" s="24"/>
      <c r="C1576" s="24"/>
      <c r="D1576" s="24"/>
      <c r="E1576" s="23"/>
      <c r="F1576" s="20">
        <v>792102.15</v>
      </c>
      <c r="G1576" s="20">
        <v>283758.97</v>
      </c>
      <c r="H1576" s="20">
        <v>0</v>
      </c>
      <c r="I1576" s="21">
        <v>160194.66</v>
      </c>
      <c r="J1576" s="21"/>
      <c r="K1576" s="21">
        <v>0</v>
      </c>
      <c r="L1576" s="21"/>
      <c r="M1576" s="20">
        <v>214795.69</v>
      </c>
      <c r="N1576" s="20">
        <v>0</v>
      </c>
      <c r="O1576" s="20">
        <v>602129.61</v>
      </c>
      <c r="P1576" s="22">
        <v>58.84162061783258</v>
      </c>
      <c r="Q1576" s="22">
        <v>54.4550704885538</v>
      </c>
    </row>
    <row r="1577" spans="1:17" ht="20.25" customHeight="1">
      <c r="A1577" s="23"/>
      <c r="B1577" s="24"/>
      <c r="C1577" s="24"/>
      <c r="D1577" s="24"/>
      <c r="E1577" s="23"/>
      <c r="F1577" s="23"/>
      <c r="G1577" s="23"/>
      <c r="H1577" s="23"/>
      <c r="I1577" s="24"/>
      <c r="J1577" s="24"/>
      <c r="K1577" s="24"/>
      <c r="L1577" s="24"/>
      <c r="M1577" s="23"/>
      <c r="N1577" s="23"/>
      <c r="O1577" s="23"/>
      <c r="P1577" s="23"/>
      <c r="Q1577" s="23"/>
    </row>
    <row r="1578" spans="1:17" ht="12.75" customHeight="1">
      <c r="A1578" s="19" t="s">
        <v>1008</v>
      </c>
      <c r="B1578" s="19"/>
      <c r="C1578" s="19"/>
      <c r="D1578" s="19"/>
      <c r="E1578" s="20">
        <f>SUM('DS1'!$A$383:$A$400)</f>
        <v>6000</v>
      </c>
      <c r="F1578" s="20">
        <v>1073742.3499999999</v>
      </c>
      <c r="G1578" s="20">
        <v>1079742.3499999999</v>
      </c>
      <c r="H1578" s="20">
        <v>633382.4</v>
      </c>
      <c r="I1578" s="21">
        <v>633382.4</v>
      </c>
      <c r="J1578" s="21"/>
      <c r="K1578" s="21">
        <v>473187.74</v>
      </c>
      <c r="L1578" s="21"/>
      <c r="M1578" s="20">
        <v>473187.74</v>
      </c>
      <c r="N1578" s="20">
        <v>258392.05</v>
      </c>
      <c r="O1578" s="20">
        <v>162600.98</v>
      </c>
      <c r="P1578" s="22">
        <v>15.059238900835927</v>
      </c>
      <c r="Q1578" s="22">
        <v>43.82413452616729</v>
      </c>
    </row>
    <row r="1579" spans="1:17" ht="12.75" customHeight="1">
      <c r="A1579" s="23"/>
      <c r="B1579" s="24"/>
      <c r="C1579" s="24"/>
      <c r="D1579" s="24"/>
      <c r="E1579" s="23"/>
      <c r="F1579" s="20">
        <v>792102.15</v>
      </c>
      <c r="G1579" s="20">
        <v>283758.97</v>
      </c>
      <c r="H1579" s="20">
        <v>0</v>
      </c>
      <c r="I1579" s="21">
        <v>160194.66</v>
      </c>
      <c r="J1579" s="21"/>
      <c r="K1579" s="21">
        <v>0</v>
      </c>
      <c r="L1579" s="21"/>
      <c r="M1579" s="20">
        <v>214795.69</v>
      </c>
      <c r="N1579" s="20">
        <v>0</v>
      </c>
      <c r="O1579" s="20">
        <v>606554.61</v>
      </c>
      <c r="P1579" s="22">
        <v>58.660512852904226</v>
      </c>
      <c r="Q1579" s="22">
        <v>54.606666267388924</v>
      </c>
    </row>
    <row r="1580" spans="1:17" ht="18" customHeight="1">
      <c r="A1580" s="23"/>
      <c r="B1580" s="24"/>
      <c r="C1580" s="24"/>
      <c r="D1580" s="24"/>
      <c r="E1580" s="23"/>
      <c r="F1580" s="23"/>
      <c r="G1580" s="23"/>
      <c r="H1580" s="23"/>
      <c r="I1580" s="24"/>
      <c r="J1580" s="24"/>
      <c r="K1580" s="24"/>
      <c r="L1580" s="24"/>
      <c r="M1580" s="23"/>
      <c r="N1580" s="23"/>
      <c r="O1580" s="23"/>
      <c r="P1580" s="23"/>
      <c r="Q1580" s="23"/>
    </row>
    <row r="1581" spans="1:17" ht="12.75" customHeight="1">
      <c r="A1581" s="10"/>
      <c r="B1581" s="11" t="s">
        <v>1009</v>
      </c>
      <c r="C1581" s="11"/>
      <c r="D1581" s="11"/>
      <c r="E1581" s="12">
        <f>ROUND(854207.51,2)</f>
        <v>854207.51</v>
      </c>
      <c r="F1581" s="12">
        <f aca="true" t="shared" si="965" ref="F1581:F1582">ROUND(0,2)</f>
        <v>0</v>
      </c>
      <c r="G1581" s="12">
        <f>ROUND(854207.51,2)</f>
        <v>854207.51</v>
      </c>
      <c r="H1581" s="12">
        <f>ROUND(447953.53,2)</f>
        <v>447953.53</v>
      </c>
      <c r="I1581" s="13">
        <f>ROUND(447953.53,2)</f>
        <v>447953.53</v>
      </c>
      <c r="J1581" s="13"/>
      <c r="K1581" s="13">
        <f>ROUND(447953.53,2)</f>
        <v>447953.53</v>
      </c>
      <c r="L1581" s="13"/>
      <c r="M1581" s="12">
        <f>ROUND(447953.53,2)</f>
        <v>447953.53</v>
      </c>
      <c r="N1581" s="12">
        <f>ROUND(258522.88,2)</f>
        <v>258522.88</v>
      </c>
      <c r="O1581" s="12">
        <f aca="true" t="shared" si="966" ref="O1581:O1582">ROUND(406253.98,2)</f>
        <v>406253.98</v>
      </c>
      <c r="P1581" s="14">
        <v>47.559167443985594</v>
      </c>
      <c r="Q1581" s="14">
        <v>52.440832556014406</v>
      </c>
    </row>
    <row r="1582" spans="1:17" ht="12.75" customHeight="1">
      <c r="A1582" s="15" t="s">
        <v>1010</v>
      </c>
      <c r="B1582" s="15"/>
      <c r="C1582" s="15"/>
      <c r="D1582" s="15"/>
      <c r="E1582" s="16" t="s">
        <v>961</v>
      </c>
      <c r="F1582" s="17">
        <f t="shared" si="965"/>
        <v>0</v>
      </c>
      <c r="G1582" s="17">
        <f>ROUND(0,2)</f>
        <v>0</v>
      </c>
      <c r="H1582" s="17">
        <f>ROUND(0,2)</f>
        <v>0</v>
      </c>
      <c r="I1582" s="17">
        <f>ROUND(0,2)</f>
        <v>0</v>
      </c>
      <c r="J1582" s="17"/>
      <c r="K1582" s="17">
        <f>ROUND(0,2)</f>
        <v>0</v>
      </c>
      <c r="L1582" s="17"/>
      <c r="M1582" s="17">
        <f>ROUND(189430.65,2)</f>
        <v>189430.65</v>
      </c>
      <c r="N1582" s="17">
        <f>ROUND(0,2)</f>
        <v>0</v>
      </c>
      <c r="O1582" s="17">
        <f t="shared" si="966"/>
        <v>406253.98</v>
      </c>
      <c r="P1582" s="18">
        <v>52.440832556014406</v>
      </c>
      <c r="Q1582" s="18">
        <v>57.71198633036779</v>
      </c>
    </row>
    <row r="1583" spans="1:17" ht="12.75" customHeight="1">
      <c r="A1583" s="19" t="s">
        <v>37</v>
      </c>
      <c r="B1583" s="19"/>
      <c r="C1583" s="19"/>
      <c r="D1583" s="19"/>
      <c r="E1583" s="20">
        <f>SUM('DS1'!$A$401)</f>
        <v>854207.51</v>
      </c>
      <c r="F1583" s="20">
        <v>0</v>
      </c>
      <c r="G1583" s="20">
        <v>854207.51</v>
      </c>
      <c r="H1583" s="20">
        <v>447953.53</v>
      </c>
      <c r="I1583" s="21">
        <v>447953.53</v>
      </c>
      <c r="J1583" s="21"/>
      <c r="K1583" s="21">
        <v>447953.53</v>
      </c>
      <c r="L1583" s="21"/>
      <c r="M1583" s="20">
        <v>447953.53</v>
      </c>
      <c r="N1583" s="20">
        <v>258522.88</v>
      </c>
      <c r="O1583" s="20">
        <v>406253.98</v>
      </c>
      <c r="P1583" s="22">
        <v>47.559167443985594</v>
      </c>
      <c r="Q1583" s="22">
        <v>52.440832556014406</v>
      </c>
    </row>
    <row r="1584" spans="1:17" ht="12.75" customHeight="1">
      <c r="A1584" s="23"/>
      <c r="B1584" s="24"/>
      <c r="C1584" s="24"/>
      <c r="D1584" s="24"/>
      <c r="E1584" s="23"/>
      <c r="F1584" s="20">
        <v>0</v>
      </c>
      <c r="G1584" s="20">
        <v>0</v>
      </c>
      <c r="H1584" s="20">
        <v>0</v>
      </c>
      <c r="I1584" s="21">
        <v>0</v>
      </c>
      <c r="J1584" s="21"/>
      <c r="K1584" s="21">
        <v>0</v>
      </c>
      <c r="L1584" s="21"/>
      <c r="M1584" s="20">
        <v>189430.65000000002</v>
      </c>
      <c r="N1584" s="20">
        <v>0</v>
      </c>
      <c r="O1584" s="20">
        <v>406253.98</v>
      </c>
      <c r="P1584" s="22">
        <v>52.440832556014406</v>
      </c>
      <c r="Q1584" s="22">
        <v>57.71198633036779</v>
      </c>
    </row>
    <row r="1585" spans="1:17" ht="20.25" customHeight="1">
      <c r="A1585" s="23"/>
      <c r="B1585" s="24"/>
      <c r="C1585" s="24"/>
      <c r="D1585" s="24"/>
      <c r="E1585" s="23"/>
      <c r="F1585" s="23"/>
      <c r="G1585" s="23"/>
      <c r="H1585" s="23"/>
      <c r="I1585" s="24"/>
      <c r="J1585" s="24"/>
      <c r="K1585" s="24"/>
      <c r="L1585" s="24"/>
      <c r="M1585" s="23"/>
      <c r="N1585" s="23"/>
      <c r="O1585" s="23"/>
      <c r="P1585" s="23"/>
      <c r="Q1585" s="23"/>
    </row>
    <row r="1586" spans="1:17" ht="12.75" customHeight="1">
      <c r="A1586" s="19" t="s">
        <v>1011</v>
      </c>
      <c r="B1586" s="19"/>
      <c r="C1586" s="19"/>
      <c r="D1586" s="19"/>
      <c r="E1586" s="20">
        <f>SUM('DS1'!$A$401)</f>
        <v>854207.51</v>
      </c>
      <c r="F1586" s="20">
        <v>0</v>
      </c>
      <c r="G1586" s="20">
        <v>854207.51</v>
      </c>
      <c r="H1586" s="20">
        <v>447953.53</v>
      </c>
      <c r="I1586" s="21">
        <v>447953.53</v>
      </c>
      <c r="J1586" s="21"/>
      <c r="K1586" s="21">
        <v>447953.53</v>
      </c>
      <c r="L1586" s="21"/>
      <c r="M1586" s="20">
        <v>447953.53</v>
      </c>
      <c r="N1586" s="20">
        <v>258522.88</v>
      </c>
      <c r="O1586" s="20">
        <v>406253.98</v>
      </c>
      <c r="P1586" s="22">
        <v>47.559167443985594</v>
      </c>
      <c r="Q1586" s="22">
        <v>52.440832556014406</v>
      </c>
    </row>
    <row r="1587" spans="1:17" ht="12.75" customHeight="1">
      <c r="A1587" s="23"/>
      <c r="B1587" s="24"/>
      <c r="C1587" s="24"/>
      <c r="D1587" s="24"/>
      <c r="E1587" s="23"/>
      <c r="F1587" s="20">
        <v>0</v>
      </c>
      <c r="G1587" s="20">
        <v>0</v>
      </c>
      <c r="H1587" s="20">
        <v>0</v>
      </c>
      <c r="I1587" s="21">
        <v>0</v>
      </c>
      <c r="J1587" s="21"/>
      <c r="K1587" s="21">
        <v>0</v>
      </c>
      <c r="L1587" s="21"/>
      <c r="M1587" s="20">
        <v>189430.65000000002</v>
      </c>
      <c r="N1587" s="20">
        <v>0</v>
      </c>
      <c r="O1587" s="20">
        <v>406253.98</v>
      </c>
      <c r="P1587" s="22">
        <v>52.440832556014406</v>
      </c>
      <c r="Q1587" s="22">
        <v>57.71198633036779</v>
      </c>
    </row>
    <row r="1588" spans="1:17" ht="18" customHeight="1">
      <c r="A1588" s="23"/>
      <c r="B1588" s="24"/>
      <c r="C1588" s="24"/>
      <c r="D1588" s="24"/>
      <c r="E1588" s="23"/>
      <c r="F1588" s="23"/>
      <c r="G1588" s="23"/>
      <c r="H1588" s="23"/>
      <c r="I1588" s="24"/>
      <c r="J1588" s="24"/>
      <c r="K1588" s="24"/>
      <c r="L1588" s="24"/>
      <c r="M1588" s="23"/>
      <c r="N1588" s="23"/>
      <c r="O1588" s="23"/>
      <c r="P1588" s="23"/>
      <c r="Q1588" s="23"/>
    </row>
    <row r="1589" spans="1:17" ht="12.75" customHeight="1">
      <c r="A1589" s="10"/>
      <c r="B1589" s="11" t="s">
        <v>1012</v>
      </c>
      <c r="C1589" s="11"/>
      <c r="D1589" s="11"/>
      <c r="E1589" s="12">
        <f>ROUND(1500,2)</f>
        <v>1500</v>
      </c>
      <c r="F1589" s="12">
        <f aca="true" t="shared" si="967" ref="F1589:F1590">ROUND(0,2)</f>
        <v>0</v>
      </c>
      <c r="G1589" s="12">
        <f>ROUND(1500,2)</f>
        <v>1500</v>
      </c>
      <c r="H1589" s="12">
        <f>ROUND(312.1,2)</f>
        <v>312.1</v>
      </c>
      <c r="I1589" s="13">
        <f>ROUND(312.1,2)</f>
        <v>312.1</v>
      </c>
      <c r="J1589" s="13"/>
      <c r="K1589" s="13">
        <f>ROUND(312.1,2)</f>
        <v>312.1</v>
      </c>
      <c r="L1589" s="13"/>
      <c r="M1589" s="12">
        <f>ROUND(312.1,2)</f>
        <v>312.1</v>
      </c>
      <c r="N1589" s="12">
        <f>ROUND(312.1,2)</f>
        <v>312.1</v>
      </c>
      <c r="O1589" s="12">
        <f aca="true" t="shared" si="968" ref="O1589:O1590">ROUND(1187.9,2)</f>
        <v>1187.9</v>
      </c>
      <c r="P1589" s="14">
        <v>79.19333333333334</v>
      </c>
      <c r="Q1589" s="14">
        <v>20.80666666666667</v>
      </c>
    </row>
    <row r="1590" spans="1:17" ht="12.75" customHeight="1">
      <c r="A1590" s="15" t="s">
        <v>1013</v>
      </c>
      <c r="B1590" s="15"/>
      <c r="C1590" s="15"/>
      <c r="D1590" s="15"/>
      <c r="E1590" s="16" t="s">
        <v>1014</v>
      </c>
      <c r="F1590" s="17">
        <f t="shared" si="967"/>
        <v>0</v>
      </c>
      <c r="G1590" s="17">
        <f>ROUND(0,2)</f>
        <v>0</v>
      </c>
      <c r="H1590" s="17">
        <f>ROUND(0,2)</f>
        <v>0</v>
      </c>
      <c r="I1590" s="17">
        <f>ROUND(0,2)</f>
        <v>0</v>
      </c>
      <c r="J1590" s="17"/>
      <c r="K1590" s="17">
        <f>ROUND(0,2)</f>
        <v>0</v>
      </c>
      <c r="L1590" s="17"/>
      <c r="M1590" s="17">
        <f>ROUND(0,2)</f>
        <v>0</v>
      </c>
      <c r="N1590" s="17">
        <f>ROUND(0,2)</f>
        <v>0</v>
      </c>
      <c r="O1590" s="17">
        <f t="shared" si="968"/>
        <v>1187.9</v>
      </c>
      <c r="P1590" s="18">
        <v>20.80666666666667</v>
      </c>
      <c r="Q1590" s="18">
        <v>100</v>
      </c>
    </row>
    <row r="1591" spans="1:17" ht="12.75" customHeight="1">
      <c r="A1591" s="19" t="s">
        <v>500</v>
      </c>
      <c r="B1591" s="19"/>
      <c r="C1591" s="19"/>
      <c r="D1591" s="19"/>
      <c r="E1591" s="20">
        <f>SUM('DS1'!$A$402)</f>
        <v>1500</v>
      </c>
      <c r="F1591" s="20">
        <v>0</v>
      </c>
      <c r="G1591" s="20">
        <v>1500</v>
      </c>
      <c r="H1591" s="20">
        <v>312.1</v>
      </c>
      <c r="I1591" s="21">
        <v>312.1</v>
      </c>
      <c r="J1591" s="21"/>
      <c r="K1591" s="21">
        <v>312.1</v>
      </c>
      <c r="L1591" s="21"/>
      <c r="M1591" s="20">
        <v>312.1</v>
      </c>
      <c r="N1591" s="20">
        <v>312.1</v>
      </c>
      <c r="O1591" s="20">
        <v>1187.9</v>
      </c>
      <c r="P1591" s="22">
        <v>79.19333333333334</v>
      </c>
      <c r="Q1591" s="22">
        <v>20.80666666666667</v>
      </c>
    </row>
    <row r="1592" spans="1:17" ht="12.75" customHeight="1">
      <c r="A1592" s="23"/>
      <c r="B1592" s="24"/>
      <c r="C1592" s="24"/>
      <c r="D1592" s="24"/>
      <c r="E1592" s="23"/>
      <c r="F1592" s="20">
        <v>0</v>
      </c>
      <c r="G1592" s="20">
        <v>0</v>
      </c>
      <c r="H1592" s="20">
        <v>0</v>
      </c>
      <c r="I1592" s="21">
        <v>0</v>
      </c>
      <c r="J1592" s="21"/>
      <c r="K1592" s="21">
        <v>0</v>
      </c>
      <c r="L1592" s="21"/>
      <c r="M1592" s="20">
        <v>0</v>
      </c>
      <c r="N1592" s="20">
        <v>0</v>
      </c>
      <c r="O1592" s="20">
        <v>1187.9</v>
      </c>
      <c r="P1592" s="22">
        <v>20.80666666666667</v>
      </c>
      <c r="Q1592" s="22">
        <v>100</v>
      </c>
    </row>
    <row r="1593" spans="1:17" ht="20.25" customHeight="1">
      <c r="A1593" s="23"/>
      <c r="B1593" s="24"/>
      <c r="C1593" s="24"/>
      <c r="D1593" s="24"/>
      <c r="E1593" s="23"/>
      <c r="F1593" s="23"/>
      <c r="G1593" s="23"/>
      <c r="H1593" s="23"/>
      <c r="I1593" s="24"/>
      <c r="J1593" s="24"/>
      <c r="K1593" s="24"/>
      <c r="L1593" s="24"/>
      <c r="M1593" s="23"/>
      <c r="N1593" s="23"/>
      <c r="O1593" s="23"/>
      <c r="P1593" s="23"/>
      <c r="Q1593" s="23"/>
    </row>
    <row r="1594" spans="1:17" ht="12.75" customHeight="1">
      <c r="A1594" s="10"/>
      <c r="B1594" s="11" t="s">
        <v>1015</v>
      </c>
      <c r="C1594" s="11"/>
      <c r="D1594" s="11"/>
      <c r="E1594" s="12">
        <f>ROUND(190000,2)</f>
        <v>190000</v>
      </c>
      <c r="F1594" s="12">
        <f aca="true" t="shared" si="969" ref="F1594:F1595">ROUND(0,2)</f>
        <v>0</v>
      </c>
      <c r="G1594" s="12">
        <f>ROUND(190000,2)</f>
        <v>190000</v>
      </c>
      <c r="H1594" s="12">
        <f>ROUND(185307.43,2)</f>
        <v>185307.43</v>
      </c>
      <c r="I1594" s="13">
        <f>ROUND(185307.43,2)</f>
        <v>185307.43</v>
      </c>
      <c r="J1594" s="13"/>
      <c r="K1594" s="13">
        <f>ROUND(102847.07,2)</f>
        <v>102847.07</v>
      </c>
      <c r="L1594" s="13"/>
      <c r="M1594" s="12">
        <f>ROUND(102847.07,2)</f>
        <v>102847.07</v>
      </c>
      <c r="N1594" s="12">
        <f>ROUND(87347.95,2)</f>
        <v>87347.95</v>
      </c>
      <c r="O1594" s="12">
        <f>ROUND(4692.57,2)</f>
        <v>4692.57</v>
      </c>
      <c r="P1594" s="14">
        <v>2.469773684210526</v>
      </c>
      <c r="Q1594" s="14">
        <v>54.13003684210527</v>
      </c>
    </row>
    <row r="1595" spans="1:17" ht="12.75" customHeight="1">
      <c r="A1595" s="15" t="s">
        <v>1016</v>
      </c>
      <c r="B1595" s="15"/>
      <c r="C1595" s="15"/>
      <c r="D1595" s="15"/>
      <c r="E1595" s="16" t="s">
        <v>1014</v>
      </c>
      <c r="F1595" s="17">
        <f t="shared" si="969"/>
        <v>0</v>
      </c>
      <c r="G1595" s="17">
        <f>ROUND(0,2)</f>
        <v>0</v>
      </c>
      <c r="H1595" s="17">
        <f>ROUND(0,2)</f>
        <v>0</v>
      </c>
      <c r="I1595" s="17">
        <f>ROUND(82460.36,2)</f>
        <v>82460.36</v>
      </c>
      <c r="J1595" s="17"/>
      <c r="K1595" s="17">
        <f>ROUND(0,2)</f>
        <v>0</v>
      </c>
      <c r="L1595" s="17"/>
      <c r="M1595" s="17">
        <f>ROUND(15499.12,2)</f>
        <v>15499.12</v>
      </c>
      <c r="N1595" s="17">
        <f>ROUND(0,2)</f>
        <v>0</v>
      </c>
      <c r="O1595" s="17">
        <f>ROUND(87152.93,2)</f>
        <v>87152.93</v>
      </c>
      <c r="P1595" s="18">
        <v>97.53022631578946</v>
      </c>
      <c r="Q1595" s="18">
        <v>84.92993529130192</v>
      </c>
    </row>
    <row r="1596" spans="1:17" ht="12.75" customHeight="1">
      <c r="A1596" s="19" t="s">
        <v>124</v>
      </c>
      <c r="B1596" s="19"/>
      <c r="C1596" s="19"/>
      <c r="D1596" s="19"/>
      <c r="E1596" s="20">
        <f>SUM('DS1'!$A$403)</f>
        <v>190000</v>
      </c>
      <c r="F1596" s="20">
        <v>0</v>
      </c>
      <c r="G1596" s="20">
        <v>190000</v>
      </c>
      <c r="H1596" s="20">
        <v>185307.43</v>
      </c>
      <c r="I1596" s="21">
        <v>185307.43</v>
      </c>
      <c r="J1596" s="21"/>
      <c r="K1596" s="21">
        <v>102847.07</v>
      </c>
      <c r="L1596" s="21"/>
      <c r="M1596" s="20">
        <v>102847.07</v>
      </c>
      <c r="N1596" s="20">
        <v>87347.95</v>
      </c>
      <c r="O1596" s="20">
        <v>4692.57</v>
      </c>
      <c r="P1596" s="22">
        <v>2.469773684210526</v>
      </c>
      <c r="Q1596" s="22">
        <v>54.13003684210527</v>
      </c>
    </row>
    <row r="1597" spans="1:17" ht="12.75" customHeight="1">
      <c r="A1597" s="23"/>
      <c r="B1597" s="24"/>
      <c r="C1597" s="24"/>
      <c r="D1597" s="24"/>
      <c r="E1597" s="23"/>
      <c r="F1597" s="20">
        <v>0</v>
      </c>
      <c r="G1597" s="20">
        <v>0</v>
      </c>
      <c r="H1597" s="20">
        <v>0</v>
      </c>
      <c r="I1597" s="21">
        <v>82460.35999999999</v>
      </c>
      <c r="J1597" s="21"/>
      <c r="K1597" s="21">
        <v>0</v>
      </c>
      <c r="L1597" s="21"/>
      <c r="M1597" s="20">
        <v>15499.12000000001</v>
      </c>
      <c r="N1597" s="20">
        <v>0</v>
      </c>
      <c r="O1597" s="20">
        <v>87152.93</v>
      </c>
      <c r="P1597" s="22">
        <v>97.53022631578946</v>
      </c>
      <c r="Q1597" s="22">
        <v>84.92993529130192</v>
      </c>
    </row>
    <row r="1598" spans="1:17" ht="20.25" customHeight="1">
      <c r="A1598" s="23"/>
      <c r="B1598" s="24"/>
      <c r="C1598" s="24"/>
      <c r="D1598" s="24"/>
      <c r="E1598" s="23"/>
      <c r="F1598" s="23"/>
      <c r="G1598" s="23"/>
      <c r="H1598" s="23"/>
      <c r="I1598" s="24"/>
      <c r="J1598" s="24"/>
      <c r="K1598" s="24"/>
      <c r="L1598" s="24"/>
      <c r="M1598" s="23"/>
      <c r="N1598" s="23"/>
      <c r="O1598" s="23"/>
      <c r="P1598" s="23"/>
      <c r="Q1598" s="23"/>
    </row>
    <row r="1599" spans="1:17" ht="12.75" customHeight="1">
      <c r="A1599" s="10"/>
      <c r="B1599" s="11" t="s">
        <v>1017</v>
      </c>
      <c r="C1599" s="11"/>
      <c r="D1599" s="11"/>
      <c r="E1599" s="12">
        <f>ROUND(2000,2)</f>
        <v>2000</v>
      </c>
      <c r="F1599" s="12">
        <f aca="true" t="shared" si="970" ref="F1599:F1600">ROUND(0,2)</f>
        <v>0</v>
      </c>
      <c r="G1599" s="12">
        <f>ROUND(2000,2)</f>
        <v>2000</v>
      </c>
      <c r="H1599" s="12">
        <f>ROUND(2250,2)</f>
        <v>2250</v>
      </c>
      <c r="I1599" s="13">
        <f>ROUND(2250,2)</f>
        <v>2250</v>
      </c>
      <c r="J1599" s="13"/>
      <c r="K1599" s="13">
        <f>ROUND(2250,2)</f>
        <v>2250</v>
      </c>
      <c r="L1599" s="13"/>
      <c r="M1599" s="12">
        <f>ROUND(2250,2)</f>
        <v>2250</v>
      </c>
      <c r="N1599" s="12">
        <f>ROUND(2250,2)</f>
        <v>2250</v>
      </c>
      <c r="O1599" s="12">
        <f aca="true" t="shared" si="971" ref="O1599:O1600">ROUND(-250,2)</f>
        <v>-250</v>
      </c>
      <c r="P1599" s="14">
        <v>-12.5</v>
      </c>
      <c r="Q1599" s="14">
        <v>112.5</v>
      </c>
    </row>
    <row r="1600" spans="1:17" ht="12.75" customHeight="1">
      <c r="A1600" s="15" t="s">
        <v>1018</v>
      </c>
      <c r="B1600" s="15"/>
      <c r="C1600" s="15"/>
      <c r="D1600" s="15"/>
      <c r="E1600" s="16" t="s">
        <v>1014</v>
      </c>
      <c r="F1600" s="17">
        <f t="shared" si="970"/>
        <v>0</v>
      </c>
      <c r="G1600" s="17">
        <f>ROUND(0,2)</f>
        <v>0</v>
      </c>
      <c r="H1600" s="17">
        <f>ROUND(0,2)</f>
        <v>0</v>
      </c>
      <c r="I1600" s="17">
        <f>ROUND(0,2)</f>
        <v>0</v>
      </c>
      <c r="J1600" s="17"/>
      <c r="K1600" s="17">
        <f>ROUND(0,2)</f>
        <v>0</v>
      </c>
      <c r="L1600" s="17"/>
      <c r="M1600" s="17">
        <f>ROUND(0,2)</f>
        <v>0</v>
      </c>
      <c r="N1600" s="17">
        <f>ROUND(0,2)</f>
        <v>0</v>
      </c>
      <c r="O1600" s="17">
        <f t="shared" si="971"/>
        <v>-250</v>
      </c>
      <c r="P1600" s="18">
        <v>112.5</v>
      </c>
      <c r="Q1600" s="18">
        <v>100</v>
      </c>
    </row>
    <row r="1601" spans="1:17" ht="12.75" customHeight="1">
      <c r="A1601" s="19" t="s">
        <v>37</v>
      </c>
      <c r="B1601" s="19"/>
      <c r="C1601" s="19"/>
      <c r="D1601" s="19"/>
      <c r="E1601" s="20">
        <f>SUM('DS1'!$A$404)</f>
        <v>2000</v>
      </c>
      <c r="F1601" s="20">
        <v>0</v>
      </c>
      <c r="G1601" s="20">
        <v>2000</v>
      </c>
      <c r="H1601" s="20">
        <v>2250</v>
      </c>
      <c r="I1601" s="21">
        <v>2250</v>
      </c>
      <c r="J1601" s="21"/>
      <c r="K1601" s="21">
        <v>2250</v>
      </c>
      <c r="L1601" s="21"/>
      <c r="M1601" s="20">
        <v>2250</v>
      </c>
      <c r="N1601" s="20">
        <v>2250</v>
      </c>
      <c r="O1601" s="20">
        <v>-250</v>
      </c>
      <c r="P1601" s="22">
        <v>-12.5</v>
      </c>
      <c r="Q1601" s="22">
        <v>112.5</v>
      </c>
    </row>
    <row r="1602" spans="1:17" ht="12.75" customHeight="1">
      <c r="A1602" s="23"/>
      <c r="B1602" s="24"/>
      <c r="C1602" s="24"/>
      <c r="D1602" s="24"/>
      <c r="E1602" s="23"/>
      <c r="F1602" s="20">
        <v>0</v>
      </c>
      <c r="G1602" s="20">
        <v>0</v>
      </c>
      <c r="H1602" s="20">
        <v>0</v>
      </c>
      <c r="I1602" s="21">
        <v>0</v>
      </c>
      <c r="J1602" s="21"/>
      <c r="K1602" s="21">
        <v>0</v>
      </c>
      <c r="L1602" s="21"/>
      <c r="M1602" s="20">
        <v>0</v>
      </c>
      <c r="N1602" s="20">
        <v>0</v>
      </c>
      <c r="O1602" s="20">
        <v>-250</v>
      </c>
      <c r="P1602" s="22">
        <v>112.5</v>
      </c>
      <c r="Q1602" s="22">
        <v>100</v>
      </c>
    </row>
    <row r="1603" spans="1:17" ht="20.25" customHeight="1">
      <c r="A1603" s="23"/>
      <c r="B1603" s="24"/>
      <c r="C1603" s="24"/>
      <c r="D1603" s="24"/>
      <c r="E1603" s="23"/>
      <c r="F1603" s="23"/>
      <c r="G1603" s="23"/>
      <c r="H1603" s="23"/>
      <c r="I1603" s="24"/>
      <c r="J1603" s="24"/>
      <c r="K1603" s="24"/>
      <c r="L1603" s="24"/>
      <c r="M1603" s="23"/>
      <c r="N1603" s="23"/>
      <c r="O1603" s="23"/>
      <c r="P1603" s="23"/>
      <c r="Q1603" s="23"/>
    </row>
    <row r="1604" spans="1:17" ht="12.75" customHeight="1">
      <c r="A1604" s="19" t="s">
        <v>1019</v>
      </c>
      <c r="B1604" s="19"/>
      <c r="C1604" s="19"/>
      <c r="D1604" s="19"/>
      <c r="E1604" s="20">
        <f>SUM('DS1'!$A$402:$A$404)</f>
        <v>193500</v>
      </c>
      <c r="F1604" s="20">
        <v>0</v>
      </c>
      <c r="G1604" s="20">
        <v>193500</v>
      </c>
      <c r="H1604" s="20">
        <v>187869.53</v>
      </c>
      <c r="I1604" s="21">
        <v>187869.53</v>
      </c>
      <c r="J1604" s="21"/>
      <c r="K1604" s="21">
        <v>105409.17</v>
      </c>
      <c r="L1604" s="21"/>
      <c r="M1604" s="20">
        <v>105409.17</v>
      </c>
      <c r="N1604" s="20">
        <v>89910.05</v>
      </c>
      <c r="O1604" s="20">
        <v>5630.47</v>
      </c>
      <c r="P1604" s="22">
        <v>2.9098036175710598</v>
      </c>
      <c r="Q1604" s="22">
        <v>54.47502325581395</v>
      </c>
    </row>
    <row r="1605" spans="1:17" ht="12.75" customHeight="1">
      <c r="A1605" s="23"/>
      <c r="B1605" s="24"/>
      <c r="C1605" s="24"/>
      <c r="D1605" s="24"/>
      <c r="E1605" s="23"/>
      <c r="F1605" s="20">
        <v>0</v>
      </c>
      <c r="G1605" s="20">
        <v>0</v>
      </c>
      <c r="H1605" s="20">
        <v>0</v>
      </c>
      <c r="I1605" s="21">
        <v>82460.35999999999</v>
      </c>
      <c r="J1605" s="21"/>
      <c r="K1605" s="21">
        <v>0</v>
      </c>
      <c r="L1605" s="21"/>
      <c r="M1605" s="20">
        <v>15499.12000000001</v>
      </c>
      <c r="N1605" s="20">
        <v>0</v>
      </c>
      <c r="O1605" s="20">
        <v>88090.82999999999</v>
      </c>
      <c r="P1605" s="22">
        <v>97.09019638242894</v>
      </c>
      <c r="Q1605" s="22">
        <v>85.29623181740261</v>
      </c>
    </row>
    <row r="1606" spans="1:17" ht="18" customHeight="1">
      <c r="A1606" s="23"/>
      <c r="B1606" s="24"/>
      <c r="C1606" s="24"/>
      <c r="D1606" s="24"/>
      <c r="E1606" s="23"/>
      <c r="F1606" s="23"/>
      <c r="G1606" s="23"/>
      <c r="H1606" s="23"/>
      <c r="I1606" s="24"/>
      <c r="J1606" s="24"/>
      <c r="K1606" s="24"/>
      <c r="L1606" s="24"/>
      <c r="M1606" s="23"/>
      <c r="N1606" s="23"/>
      <c r="O1606" s="23"/>
      <c r="P1606" s="23"/>
      <c r="Q1606" s="23"/>
    </row>
    <row r="1607" spans="1:17" ht="12.75" customHeight="1">
      <c r="A1607" s="10"/>
      <c r="B1607" s="11" t="s">
        <v>1020</v>
      </c>
      <c r="C1607" s="11"/>
      <c r="D1607" s="11"/>
      <c r="E1607" s="12">
        <f>ROUND(476680.8,2)</f>
        <v>476680.8</v>
      </c>
      <c r="F1607" s="12">
        <f aca="true" t="shared" si="972" ref="F1607:F1608">ROUND(0,2)</f>
        <v>0</v>
      </c>
      <c r="G1607" s="12">
        <f>ROUND(476680.8,2)</f>
        <v>476680.8</v>
      </c>
      <c r="H1607" s="12">
        <f>ROUND(476466.92,2)</f>
        <v>476466.92</v>
      </c>
      <c r="I1607" s="13">
        <f>ROUND(476466.92,2)</f>
        <v>476466.92</v>
      </c>
      <c r="J1607" s="13"/>
      <c r="K1607" s="13">
        <f>ROUND(476466.92,2)</f>
        <v>476466.92</v>
      </c>
      <c r="L1607" s="13"/>
      <c r="M1607" s="12">
        <f>ROUND(476466.92,2)</f>
        <v>476466.92</v>
      </c>
      <c r="N1607" s="12">
        <f>ROUND(476466.92,2)</f>
        <v>476466.92</v>
      </c>
      <c r="O1607" s="12">
        <f>ROUND(213.88,2)</f>
        <v>213.88</v>
      </c>
      <c r="P1607" s="14">
        <v>0.044868599700260636</v>
      </c>
      <c r="Q1607" s="14">
        <v>99.95513140029973</v>
      </c>
    </row>
    <row r="1608" spans="1:17" ht="12.75" customHeight="1">
      <c r="A1608" s="15" t="s">
        <v>1021</v>
      </c>
      <c r="B1608" s="15"/>
      <c r="C1608" s="15"/>
      <c r="D1608" s="15"/>
      <c r="E1608" s="16" t="s">
        <v>1022</v>
      </c>
      <c r="F1608" s="17">
        <f t="shared" si="972"/>
        <v>0</v>
      </c>
      <c r="G1608" s="17">
        <f>ROUND(0,2)</f>
        <v>0</v>
      </c>
      <c r="H1608" s="17">
        <f>ROUND(0,2)</f>
        <v>0</v>
      </c>
      <c r="I1608" s="17">
        <f>ROUND(0,2)</f>
        <v>0</v>
      </c>
      <c r="J1608" s="17"/>
      <c r="K1608" s="17">
        <f>ROUND(0,2)</f>
        <v>0</v>
      </c>
      <c r="L1608" s="17"/>
      <c r="M1608" s="17">
        <f>ROUND(0,2)</f>
        <v>0</v>
      </c>
      <c r="N1608" s="17">
        <f>ROUND(0,2)</f>
        <v>0</v>
      </c>
      <c r="O1608" s="17">
        <f>ROUND(213.880000000005,2)</f>
        <v>213.88</v>
      </c>
      <c r="P1608" s="18">
        <v>99.95513140029973</v>
      </c>
      <c r="Q1608" s="18">
        <v>100</v>
      </c>
    </row>
    <row r="1609" spans="1:17" ht="12.75" customHeight="1">
      <c r="A1609" s="19" t="s">
        <v>1023</v>
      </c>
      <c r="B1609" s="19"/>
      <c r="C1609" s="19"/>
      <c r="D1609" s="19"/>
      <c r="E1609" s="20">
        <f>SUM('DS1'!$A$405)</f>
        <v>476680.8</v>
      </c>
      <c r="F1609" s="20">
        <v>0</v>
      </c>
      <c r="G1609" s="20">
        <v>476680.8</v>
      </c>
      <c r="H1609" s="20">
        <v>476466.92</v>
      </c>
      <c r="I1609" s="21">
        <v>476466.92</v>
      </c>
      <c r="J1609" s="21"/>
      <c r="K1609" s="21">
        <v>476466.92</v>
      </c>
      <c r="L1609" s="21"/>
      <c r="M1609" s="20">
        <v>476466.92</v>
      </c>
      <c r="N1609" s="20">
        <v>476466.92</v>
      </c>
      <c r="O1609" s="20">
        <v>213.88</v>
      </c>
      <c r="P1609" s="22">
        <v>0.044868599700260636</v>
      </c>
      <c r="Q1609" s="22">
        <v>99.95513140029973</v>
      </c>
    </row>
    <row r="1610" spans="1:17" ht="12.75" customHeight="1">
      <c r="A1610" s="23"/>
      <c r="B1610" s="24"/>
      <c r="C1610" s="24"/>
      <c r="D1610" s="24"/>
      <c r="E1610" s="23"/>
      <c r="F1610" s="20">
        <v>0</v>
      </c>
      <c r="G1610" s="20">
        <v>0</v>
      </c>
      <c r="H1610" s="20">
        <v>0</v>
      </c>
      <c r="I1610" s="21">
        <v>0</v>
      </c>
      <c r="J1610" s="21"/>
      <c r="K1610" s="21">
        <v>0</v>
      </c>
      <c r="L1610" s="21"/>
      <c r="M1610" s="20">
        <v>0</v>
      </c>
      <c r="N1610" s="20">
        <v>0</v>
      </c>
      <c r="O1610" s="20">
        <v>213.88000000000466</v>
      </c>
      <c r="P1610" s="22">
        <v>99.95513140029973</v>
      </c>
      <c r="Q1610" s="22">
        <v>100</v>
      </c>
    </row>
    <row r="1611" spans="1:17" ht="20.25" customHeight="1">
      <c r="A1611" s="23"/>
      <c r="B1611" s="24"/>
      <c r="C1611" s="24"/>
      <c r="D1611" s="24"/>
      <c r="E1611" s="23"/>
      <c r="F1611" s="23"/>
      <c r="G1611" s="23"/>
      <c r="H1611" s="23"/>
      <c r="I1611" s="24"/>
      <c r="J1611" s="24"/>
      <c r="K1611" s="24"/>
      <c r="L1611" s="24"/>
      <c r="M1611" s="23"/>
      <c r="N1611" s="23"/>
      <c r="O1611" s="23"/>
      <c r="P1611" s="23"/>
      <c r="Q1611" s="23"/>
    </row>
    <row r="1612" spans="1:17" ht="12.75" customHeight="1">
      <c r="A1612" s="10"/>
      <c r="B1612" s="11" t="s">
        <v>1024</v>
      </c>
      <c r="C1612" s="11"/>
      <c r="D1612" s="11"/>
      <c r="E1612" s="12">
        <f>ROUND(218399.76,2)</f>
        <v>218399.76</v>
      </c>
      <c r="F1612" s="12">
        <f aca="true" t="shared" si="973" ref="F1612:F1613">ROUND(0,2)</f>
        <v>0</v>
      </c>
      <c r="G1612" s="12">
        <f>ROUND(218399.76,2)</f>
        <v>218399.76</v>
      </c>
      <c r="H1612" s="12">
        <f>ROUND(210465,2)</f>
        <v>210465</v>
      </c>
      <c r="I1612" s="13">
        <f>ROUND(210465,2)</f>
        <v>210465</v>
      </c>
      <c r="J1612" s="13"/>
      <c r="K1612" s="13">
        <f>ROUND(210465,2)</f>
        <v>210465</v>
      </c>
      <c r="L1612" s="13"/>
      <c r="M1612" s="12">
        <f>ROUND(210465,2)</f>
        <v>210465</v>
      </c>
      <c r="N1612" s="12">
        <f>ROUND(210465,2)</f>
        <v>210465</v>
      </c>
      <c r="O1612" s="12">
        <f>ROUND(7934.76,2)</f>
        <v>7934.76</v>
      </c>
      <c r="P1612" s="14">
        <v>3.6331358605888577</v>
      </c>
      <c r="Q1612" s="14">
        <v>96.36686413941113</v>
      </c>
    </row>
    <row r="1613" spans="1:17" ht="12.75" customHeight="1">
      <c r="A1613" s="15" t="s">
        <v>1025</v>
      </c>
      <c r="B1613" s="15"/>
      <c r="C1613" s="15"/>
      <c r="D1613" s="15"/>
      <c r="E1613" s="16" t="s">
        <v>1022</v>
      </c>
      <c r="F1613" s="17">
        <f t="shared" si="973"/>
        <v>0</v>
      </c>
      <c r="G1613" s="17">
        <f>ROUND(0,2)</f>
        <v>0</v>
      </c>
      <c r="H1613" s="17">
        <f>ROUND(0,2)</f>
        <v>0</v>
      </c>
      <c r="I1613" s="17">
        <f>ROUND(0,2)</f>
        <v>0</v>
      </c>
      <c r="J1613" s="17"/>
      <c r="K1613" s="17">
        <f>ROUND(0,2)</f>
        <v>0</v>
      </c>
      <c r="L1613" s="17"/>
      <c r="M1613" s="17">
        <f>ROUND(0,2)</f>
        <v>0</v>
      </c>
      <c r="N1613" s="17">
        <f>ROUND(0,2)</f>
        <v>0</v>
      </c>
      <c r="O1613" s="17">
        <f>ROUND(7934.76000000001,2)</f>
        <v>7934.76</v>
      </c>
      <c r="P1613" s="18">
        <v>96.36686413941113</v>
      </c>
      <c r="Q1613" s="18">
        <v>100</v>
      </c>
    </row>
    <row r="1614" spans="1:17" ht="12.75" customHeight="1">
      <c r="A1614" s="19" t="s">
        <v>1026</v>
      </c>
      <c r="B1614" s="19"/>
      <c r="C1614" s="19"/>
      <c r="D1614" s="19"/>
      <c r="E1614" s="20">
        <f>SUM('DS1'!$A$406)</f>
        <v>218399.76</v>
      </c>
      <c r="F1614" s="20">
        <v>0</v>
      </c>
      <c r="G1614" s="20">
        <v>218399.76</v>
      </c>
      <c r="H1614" s="20">
        <v>210465</v>
      </c>
      <c r="I1614" s="21">
        <v>210465</v>
      </c>
      <c r="J1614" s="21"/>
      <c r="K1614" s="21">
        <v>210465</v>
      </c>
      <c r="L1614" s="21"/>
      <c r="M1614" s="20">
        <v>210465</v>
      </c>
      <c r="N1614" s="20">
        <v>210465</v>
      </c>
      <c r="O1614" s="20">
        <v>7934.76</v>
      </c>
      <c r="P1614" s="22">
        <v>3.6331358605888577</v>
      </c>
      <c r="Q1614" s="22">
        <v>96.36686413941113</v>
      </c>
    </row>
    <row r="1615" spans="1:17" ht="12.75" customHeight="1">
      <c r="A1615" s="23"/>
      <c r="B1615" s="24"/>
      <c r="C1615" s="24"/>
      <c r="D1615" s="24"/>
      <c r="E1615" s="23"/>
      <c r="F1615" s="20">
        <v>0</v>
      </c>
      <c r="G1615" s="20">
        <v>0</v>
      </c>
      <c r="H1615" s="20">
        <v>0</v>
      </c>
      <c r="I1615" s="21">
        <v>0</v>
      </c>
      <c r="J1615" s="21"/>
      <c r="K1615" s="21">
        <v>0</v>
      </c>
      <c r="L1615" s="21"/>
      <c r="M1615" s="20">
        <v>0</v>
      </c>
      <c r="N1615" s="20">
        <v>0</v>
      </c>
      <c r="O1615" s="20">
        <v>7934.760000000009</v>
      </c>
      <c r="P1615" s="22">
        <v>96.36686413941113</v>
      </c>
      <c r="Q1615" s="22">
        <v>100</v>
      </c>
    </row>
    <row r="1616" spans="1:17" ht="20.25" customHeight="1">
      <c r="A1616" s="23"/>
      <c r="B1616" s="24"/>
      <c r="C1616" s="24"/>
      <c r="D1616" s="24"/>
      <c r="E1616" s="23"/>
      <c r="F1616" s="23"/>
      <c r="G1616" s="23"/>
      <c r="H1616" s="23"/>
      <c r="I1616" s="24"/>
      <c r="J1616" s="24"/>
      <c r="K1616" s="24"/>
      <c r="L1616" s="24"/>
      <c r="M1616" s="23"/>
      <c r="N1616" s="23"/>
      <c r="O1616" s="23"/>
      <c r="P1616" s="23"/>
      <c r="Q1616" s="23"/>
    </row>
    <row r="1617" spans="1:17" ht="12.75" customHeight="1">
      <c r="A1617" s="10"/>
      <c r="B1617" s="11" t="s">
        <v>1027</v>
      </c>
      <c r="C1617" s="11"/>
      <c r="D1617" s="11"/>
      <c r="E1617" s="12">
        <f>ROUND(72071.92,2)</f>
        <v>72071.92</v>
      </c>
      <c r="F1617" s="12">
        <f aca="true" t="shared" si="974" ref="F1617:F1620">ROUND(0,2)</f>
        <v>0</v>
      </c>
      <c r="G1617" s="12">
        <f>ROUND(72071.92,2)</f>
        <v>72071.92</v>
      </c>
      <c r="H1617" s="12">
        <f>ROUND(65565.39,2)</f>
        <v>65565.39</v>
      </c>
      <c r="I1617" s="13">
        <f>ROUND(65565.39,2)</f>
        <v>65565.39</v>
      </c>
      <c r="J1617" s="13"/>
      <c r="K1617" s="13">
        <f>ROUND(65565.39,2)</f>
        <v>65565.39</v>
      </c>
      <c r="L1617" s="13"/>
      <c r="M1617" s="12">
        <f>ROUND(65565.39,2)</f>
        <v>65565.39</v>
      </c>
      <c r="N1617" s="12">
        <f>ROUND(65565.39,2)</f>
        <v>65565.39</v>
      </c>
      <c r="O1617" s="12">
        <f>ROUND(6506.53,2)</f>
        <v>6506.53</v>
      </c>
      <c r="P1617" s="14">
        <v>9.027829423720084</v>
      </c>
      <c r="Q1617" s="14">
        <v>90.97217057627992</v>
      </c>
    </row>
    <row r="1618" spans="1:17" ht="12.75" customHeight="1">
      <c r="A1618" s="15" t="s">
        <v>1028</v>
      </c>
      <c r="B1618" s="15"/>
      <c r="C1618" s="15"/>
      <c r="D1618" s="15"/>
      <c r="E1618" s="16" t="s">
        <v>1022</v>
      </c>
      <c r="F1618" s="17">
        <f t="shared" si="974"/>
        <v>0</v>
      </c>
      <c r="G1618" s="17">
        <f>ROUND(0,2)</f>
        <v>0</v>
      </c>
      <c r="H1618" s="17">
        <f>ROUND(0,2)</f>
        <v>0</v>
      </c>
      <c r="I1618" s="17">
        <f>ROUND(0,2)</f>
        <v>0</v>
      </c>
      <c r="J1618" s="17"/>
      <c r="K1618" s="17">
        <f>ROUND(0,2)</f>
        <v>0</v>
      </c>
      <c r="L1618" s="17"/>
      <c r="M1618" s="17">
        <f>ROUND(0,2)</f>
        <v>0</v>
      </c>
      <c r="N1618" s="17">
        <f>ROUND(0,2)</f>
        <v>0</v>
      </c>
      <c r="O1618" s="17">
        <f>ROUND(6506.53,2)</f>
        <v>6506.53</v>
      </c>
      <c r="P1618" s="18">
        <v>90.97217057627992</v>
      </c>
      <c r="Q1618" s="18">
        <v>100</v>
      </c>
    </row>
    <row r="1619" spans="1:17" ht="12.75" customHeight="1">
      <c r="A1619" s="10"/>
      <c r="B1619" s="11" t="s">
        <v>1029</v>
      </c>
      <c r="C1619" s="11"/>
      <c r="D1619" s="11"/>
      <c r="E1619" s="12">
        <f>ROUND(157304.72,2)</f>
        <v>157304.72</v>
      </c>
      <c r="F1619" s="12">
        <f t="shared" si="974"/>
        <v>0</v>
      </c>
      <c r="G1619" s="12">
        <f>ROUND(157304.72,2)</f>
        <v>157304.72</v>
      </c>
      <c r="H1619" s="12">
        <f>ROUND(139829.57,2)</f>
        <v>139829.57</v>
      </c>
      <c r="I1619" s="13">
        <f>ROUND(139829.57,2)</f>
        <v>139829.57</v>
      </c>
      <c r="J1619" s="13"/>
      <c r="K1619" s="13">
        <f>ROUND(139829.57,2)</f>
        <v>139829.57</v>
      </c>
      <c r="L1619" s="13"/>
      <c r="M1619" s="12">
        <f>ROUND(139829.57,2)</f>
        <v>139829.57</v>
      </c>
      <c r="N1619" s="12">
        <f>ROUND(139829.57,2)</f>
        <v>139829.57</v>
      </c>
      <c r="O1619" s="12">
        <f>ROUND(17475.15,2)</f>
        <v>17475.15</v>
      </c>
      <c r="P1619" s="14">
        <v>11.109107215600398</v>
      </c>
      <c r="Q1619" s="14">
        <v>88.89089278439961</v>
      </c>
    </row>
    <row r="1620" spans="1:17" ht="12.75" customHeight="1">
      <c r="A1620" s="15" t="s">
        <v>1030</v>
      </c>
      <c r="B1620" s="15"/>
      <c r="C1620" s="15"/>
      <c r="D1620" s="15"/>
      <c r="E1620" s="16" t="s">
        <v>1022</v>
      </c>
      <c r="F1620" s="17">
        <f t="shared" si="974"/>
        <v>0</v>
      </c>
      <c r="G1620" s="17">
        <f>ROUND(0,2)</f>
        <v>0</v>
      </c>
      <c r="H1620" s="17">
        <f>ROUND(0,2)</f>
        <v>0</v>
      </c>
      <c r="I1620" s="17">
        <f>ROUND(0,2)</f>
        <v>0</v>
      </c>
      <c r="J1620" s="17"/>
      <c r="K1620" s="17">
        <f>ROUND(0,2)</f>
        <v>0</v>
      </c>
      <c r="L1620" s="17"/>
      <c r="M1620" s="17">
        <f>ROUND(0,2)</f>
        <v>0</v>
      </c>
      <c r="N1620" s="17">
        <f>ROUND(0,2)</f>
        <v>0</v>
      </c>
      <c r="O1620" s="17">
        <f>ROUND(17475.15,2)</f>
        <v>17475.15</v>
      </c>
      <c r="P1620" s="18">
        <v>88.89089278439961</v>
      </c>
      <c r="Q1620" s="18">
        <v>100</v>
      </c>
    </row>
    <row r="1621" spans="1:17" ht="12.75" customHeight="1">
      <c r="A1621" s="19" t="s">
        <v>68</v>
      </c>
      <c r="B1621" s="19"/>
      <c r="C1621" s="19"/>
      <c r="D1621" s="19"/>
      <c r="E1621" s="20">
        <f>SUM('DS1'!$A$407:$A$408)</f>
        <v>229376.64</v>
      </c>
      <c r="F1621" s="20">
        <v>0</v>
      </c>
      <c r="G1621" s="20">
        <v>229376.64</v>
      </c>
      <c r="H1621" s="20">
        <v>205394.96</v>
      </c>
      <c r="I1621" s="21">
        <v>205394.96</v>
      </c>
      <c r="J1621" s="21"/>
      <c r="K1621" s="21">
        <v>205394.96</v>
      </c>
      <c r="L1621" s="21"/>
      <c r="M1621" s="20">
        <v>205394.96</v>
      </c>
      <c r="N1621" s="20">
        <v>205394.96</v>
      </c>
      <c r="O1621" s="20">
        <v>23981.68</v>
      </c>
      <c r="P1621" s="22">
        <v>10.455153584950933</v>
      </c>
      <c r="Q1621" s="22">
        <v>89.54484641504905</v>
      </c>
    </row>
    <row r="1622" spans="1:17" ht="12.75" customHeight="1">
      <c r="A1622" s="23"/>
      <c r="B1622" s="24"/>
      <c r="C1622" s="24"/>
      <c r="D1622" s="24"/>
      <c r="E1622" s="23"/>
      <c r="F1622" s="20">
        <v>0</v>
      </c>
      <c r="G1622" s="20">
        <v>0</v>
      </c>
      <c r="H1622" s="20">
        <v>0</v>
      </c>
      <c r="I1622" s="21">
        <v>0</v>
      </c>
      <c r="J1622" s="21"/>
      <c r="K1622" s="21">
        <v>0</v>
      </c>
      <c r="L1622" s="21"/>
      <c r="M1622" s="20">
        <v>0</v>
      </c>
      <c r="N1622" s="20">
        <v>0</v>
      </c>
      <c r="O1622" s="20">
        <v>23981.679999999993</v>
      </c>
      <c r="P1622" s="22">
        <v>89.54484641504905</v>
      </c>
      <c r="Q1622" s="22">
        <v>100</v>
      </c>
    </row>
    <row r="1623" spans="1:17" ht="20.25" customHeight="1">
      <c r="A1623" s="23"/>
      <c r="B1623" s="24"/>
      <c r="C1623" s="24"/>
      <c r="D1623" s="24"/>
      <c r="E1623" s="23"/>
      <c r="F1623" s="23"/>
      <c r="G1623" s="23"/>
      <c r="H1623" s="23"/>
      <c r="I1623" s="24"/>
      <c r="J1623" s="24"/>
      <c r="K1623" s="24"/>
      <c r="L1623" s="24"/>
      <c r="M1623" s="23"/>
      <c r="N1623" s="23"/>
      <c r="O1623" s="23"/>
      <c r="P1623" s="23"/>
      <c r="Q1623" s="23"/>
    </row>
    <row r="1624" spans="1:17" ht="12.75" customHeight="1">
      <c r="A1624" s="10"/>
      <c r="B1624" s="11" t="s">
        <v>1031</v>
      </c>
      <c r="C1624" s="11"/>
      <c r="D1624" s="11"/>
      <c r="E1624" s="12">
        <f>ROUND(0,2)</f>
        <v>0</v>
      </c>
      <c r="F1624" s="12">
        <f aca="true" t="shared" si="975" ref="F1624:F1625">ROUND(0,2)</f>
        <v>0</v>
      </c>
      <c r="G1624" s="12">
        <f aca="true" t="shared" si="976" ref="G1624:G1625">ROUND(0,2)</f>
        <v>0</v>
      </c>
      <c r="H1624" s="12">
        <f>ROUND(588.2,2)</f>
        <v>588.2</v>
      </c>
      <c r="I1624" s="13">
        <f>ROUND(588.2,2)</f>
        <v>588.2</v>
      </c>
      <c r="J1624" s="13"/>
      <c r="K1624" s="13">
        <f>ROUND(588.2,2)</f>
        <v>588.2</v>
      </c>
      <c r="L1624" s="13"/>
      <c r="M1624" s="12">
        <f>ROUND(588.2,2)</f>
        <v>588.2</v>
      </c>
      <c r="N1624" s="12">
        <f>ROUND(588.2,2)</f>
        <v>588.2</v>
      </c>
      <c r="O1624" s="12">
        <f aca="true" t="shared" si="977" ref="O1624:O1625">ROUND(-588.2,2)</f>
        <v>-588.2</v>
      </c>
      <c r="P1624" s="14">
        <v>0</v>
      </c>
      <c r="Q1624" s="14">
        <v>0</v>
      </c>
    </row>
    <row r="1625" spans="1:17" ht="12.75" customHeight="1">
      <c r="A1625" s="15" t="s">
        <v>1032</v>
      </c>
      <c r="B1625" s="15"/>
      <c r="C1625" s="15"/>
      <c r="D1625" s="15"/>
      <c r="E1625" s="16" t="s">
        <v>1033</v>
      </c>
      <c r="F1625" s="17">
        <f t="shared" si="975"/>
        <v>0</v>
      </c>
      <c r="G1625" s="17">
        <f t="shared" si="976"/>
        <v>0</v>
      </c>
      <c r="H1625" s="17">
        <f>ROUND(0,2)</f>
        <v>0</v>
      </c>
      <c r="I1625" s="17">
        <f>ROUND(0,2)</f>
        <v>0</v>
      </c>
      <c r="J1625" s="17"/>
      <c r="K1625" s="17">
        <f>ROUND(0,2)</f>
        <v>0</v>
      </c>
      <c r="L1625" s="17"/>
      <c r="M1625" s="17">
        <f>ROUND(0,2)</f>
        <v>0</v>
      </c>
      <c r="N1625" s="17">
        <f>ROUND(0,2)</f>
        <v>0</v>
      </c>
      <c r="O1625" s="17">
        <f t="shared" si="977"/>
        <v>-588.2</v>
      </c>
      <c r="P1625" s="18">
        <v>0</v>
      </c>
      <c r="Q1625" s="18">
        <v>100</v>
      </c>
    </row>
    <row r="1626" spans="1:17" ht="12.75" customHeight="1">
      <c r="A1626" s="19" t="s">
        <v>92</v>
      </c>
      <c r="B1626" s="19"/>
      <c r="C1626" s="19"/>
      <c r="D1626" s="19"/>
      <c r="E1626" s="20">
        <f>SUM('DS1'!$A$409)</f>
        <v>0</v>
      </c>
      <c r="F1626" s="20">
        <v>0</v>
      </c>
      <c r="G1626" s="20">
        <v>0</v>
      </c>
      <c r="H1626" s="20">
        <v>588.2</v>
      </c>
      <c r="I1626" s="21">
        <v>588.2</v>
      </c>
      <c r="J1626" s="21"/>
      <c r="K1626" s="21">
        <v>588.2</v>
      </c>
      <c r="L1626" s="21"/>
      <c r="M1626" s="20">
        <v>588.2</v>
      </c>
      <c r="N1626" s="20">
        <v>588.2</v>
      </c>
      <c r="O1626" s="20">
        <v>-588.2</v>
      </c>
      <c r="P1626" s="22">
        <v>0</v>
      </c>
      <c r="Q1626" s="22">
        <v>0</v>
      </c>
    </row>
    <row r="1627" spans="1:17" ht="12.75" customHeight="1">
      <c r="A1627" s="23"/>
      <c r="B1627" s="24"/>
      <c r="C1627" s="24"/>
      <c r="D1627" s="24"/>
      <c r="E1627" s="23"/>
      <c r="F1627" s="20">
        <v>0</v>
      </c>
      <c r="G1627" s="20">
        <v>0</v>
      </c>
      <c r="H1627" s="20">
        <v>0</v>
      </c>
      <c r="I1627" s="21">
        <v>0</v>
      </c>
      <c r="J1627" s="21"/>
      <c r="K1627" s="21">
        <v>0</v>
      </c>
      <c r="L1627" s="21"/>
      <c r="M1627" s="20">
        <v>0</v>
      </c>
      <c r="N1627" s="20">
        <v>0</v>
      </c>
      <c r="O1627" s="20">
        <v>-588.2</v>
      </c>
      <c r="P1627" s="22">
        <v>0</v>
      </c>
      <c r="Q1627" s="22">
        <v>100</v>
      </c>
    </row>
    <row r="1628" spans="1:17" ht="20.25" customHeight="1">
      <c r="A1628" s="23"/>
      <c r="B1628" s="24"/>
      <c r="C1628" s="24"/>
      <c r="D1628" s="24"/>
      <c r="E1628" s="23"/>
      <c r="F1628" s="23"/>
      <c r="G1628" s="23"/>
      <c r="H1628" s="23"/>
      <c r="I1628" s="24"/>
      <c r="J1628" s="24"/>
      <c r="K1628" s="24"/>
      <c r="L1628" s="24"/>
      <c r="M1628" s="23"/>
      <c r="N1628" s="23"/>
      <c r="O1628" s="23"/>
      <c r="P1628" s="23"/>
      <c r="Q1628" s="23"/>
    </row>
    <row r="1629" spans="1:17" ht="12.75" customHeight="1">
      <c r="A1629" s="10"/>
      <c r="B1629" s="11" t="s">
        <v>1034</v>
      </c>
      <c r="C1629" s="11"/>
      <c r="D1629" s="11"/>
      <c r="E1629" s="12">
        <f>ROUND(30000,2)</f>
        <v>30000</v>
      </c>
      <c r="F1629" s="12">
        <f>ROUND(-4000,2)</f>
        <v>-4000</v>
      </c>
      <c r="G1629" s="12">
        <f>ROUND(26000,2)</f>
        <v>26000</v>
      </c>
      <c r="H1629" s="12">
        <f>ROUND(15046.27,2)</f>
        <v>15046.27</v>
      </c>
      <c r="I1629" s="13">
        <f>ROUND(15046.27,2)</f>
        <v>15046.27</v>
      </c>
      <c r="J1629" s="13"/>
      <c r="K1629" s="13">
        <f>ROUND(8063.45,2)</f>
        <v>8063.45</v>
      </c>
      <c r="L1629" s="13"/>
      <c r="M1629" s="12">
        <f>ROUND(8063.45,2)</f>
        <v>8063.45</v>
      </c>
      <c r="N1629" s="12">
        <f>ROUND(4615.15,2)</f>
        <v>4615.15</v>
      </c>
      <c r="O1629" s="12">
        <f>ROUND(10458.73,2)</f>
        <v>10458.73</v>
      </c>
      <c r="P1629" s="14">
        <v>40.225884615384615</v>
      </c>
      <c r="Q1629" s="14">
        <v>31.01326923076923</v>
      </c>
    </row>
    <row r="1630" spans="1:17" ht="12.75" customHeight="1">
      <c r="A1630" s="15" t="s">
        <v>1035</v>
      </c>
      <c r="B1630" s="15"/>
      <c r="C1630" s="15"/>
      <c r="D1630" s="15"/>
      <c r="E1630" s="16" t="s">
        <v>1036</v>
      </c>
      <c r="F1630" s="17">
        <f>ROUND(0,2)</f>
        <v>0</v>
      </c>
      <c r="G1630" s="17">
        <f>ROUND(495,2)</f>
        <v>495</v>
      </c>
      <c r="H1630" s="17">
        <f>ROUND(0,2)</f>
        <v>0</v>
      </c>
      <c r="I1630" s="17">
        <f>ROUND(6982.82,2)</f>
        <v>6982.82</v>
      </c>
      <c r="J1630" s="17"/>
      <c r="K1630" s="17">
        <f>ROUND(0,2)</f>
        <v>0</v>
      </c>
      <c r="L1630" s="17"/>
      <c r="M1630" s="17">
        <f>ROUND(3448.3,2)</f>
        <v>3448.3</v>
      </c>
      <c r="N1630" s="17">
        <f>ROUND(0,2)</f>
        <v>0</v>
      </c>
      <c r="O1630" s="17">
        <f>ROUND(17936.55,2)</f>
        <v>17936.55</v>
      </c>
      <c r="P1630" s="18">
        <v>50.15423333333333</v>
      </c>
      <c r="Q1630" s="18">
        <v>57.23542652338639</v>
      </c>
    </row>
    <row r="1631" spans="1:17" ht="12.75" customHeight="1">
      <c r="A1631" s="19" t="s">
        <v>124</v>
      </c>
      <c r="B1631" s="19"/>
      <c r="C1631" s="19"/>
      <c r="D1631" s="19"/>
      <c r="E1631" s="20">
        <f>SUM('DS1'!$A$410)</f>
        <v>30000</v>
      </c>
      <c r="F1631" s="20">
        <v>-4000</v>
      </c>
      <c r="G1631" s="20">
        <v>26000</v>
      </c>
      <c r="H1631" s="20">
        <v>15046.27</v>
      </c>
      <c r="I1631" s="21">
        <v>15046.27</v>
      </c>
      <c r="J1631" s="21"/>
      <c r="K1631" s="21">
        <v>8063.45</v>
      </c>
      <c r="L1631" s="21"/>
      <c r="M1631" s="20">
        <v>8063.45</v>
      </c>
      <c r="N1631" s="20">
        <v>4615.15</v>
      </c>
      <c r="O1631" s="20">
        <v>10458.73</v>
      </c>
      <c r="P1631" s="22">
        <v>40.225884615384615</v>
      </c>
      <c r="Q1631" s="22">
        <v>31.01326923076923</v>
      </c>
    </row>
    <row r="1632" spans="1:17" ht="12.75" customHeight="1">
      <c r="A1632" s="23"/>
      <c r="B1632" s="24"/>
      <c r="C1632" s="24"/>
      <c r="D1632" s="24"/>
      <c r="E1632" s="23"/>
      <c r="F1632" s="20">
        <v>0</v>
      </c>
      <c r="G1632" s="20">
        <v>495</v>
      </c>
      <c r="H1632" s="20">
        <v>0</v>
      </c>
      <c r="I1632" s="21">
        <v>6982.820000000001</v>
      </c>
      <c r="J1632" s="21"/>
      <c r="K1632" s="21">
        <v>0</v>
      </c>
      <c r="L1632" s="21"/>
      <c r="M1632" s="20">
        <v>3448.3</v>
      </c>
      <c r="N1632" s="20">
        <v>0</v>
      </c>
      <c r="O1632" s="20">
        <v>17936.55</v>
      </c>
      <c r="P1632" s="22">
        <v>57.87026923076923</v>
      </c>
      <c r="Q1632" s="22">
        <v>57.23542652338639</v>
      </c>
    </row>
    <row r="1633" spans="1:17" ht="20.25" customHeight="1">
      <c r="A1633" s="23"/>
      <c r="B1633" s="24"/>
      <c r="C1633" s="24"/>
      <c r="D1633" s="24"/>
      <c r="E1633" s="23"/>
      <c r="F1633" s="23"/>
      <c r="G1633" s="23"/>
      <c r="H1633" s="23"/>
      <c r="I1633" s="24"/>
      <c r="J1633" s="24"/>
      <c r="K1633" s="24"/>
      <c r="L1633" s="24"/>
      <c r="M1633" s="23"/>
      <c r="N1633" s="23"/>
      <c r="O1633" s="23"/>
      <c r="P1633" s="23"/>
      <c r="Q1633" s="23"/>
    </row>
    <row r="1634" spans="1:17" ht="12.75" customHeight="1">
      <c r="A1634" s="10"/>
      <c r="B1634" s="11" t="s">
        <v>1037</v>
      </c>
      <c r="C1634" s="11"/>
      <c r="D1634" s="11"/>
      <c r="E1634" s="12">
        <f>ROUND(9500,2)</f>
        <v>9500</v>
      </c>
      <c r="F1634" s="12">
        <f>ROUND(4000,2)</f>
        <v>4000</v>
      </c>
      <c r="G1634" s="12">
        <f>ROUND(13500,2)</f>
        <v>13500</v>
      </c>
      <c r="H1634" s="12">
        <f>ROUND(8141.63,2)</f>
        <v>8141.63</v>
      </c>
      <c r="I1634" s="13">
        <f>ROUND(8141.63,2)</f>
        <v>8141.63</v>
      </c>
      <c r="J1634" s="13"/>
      <c r="K1634" s="13">
        <f>ROUND(2172.1,2)</f>
        <v>2172.1</v>
      </c>
      <c r="L1634" s="13"/>
      <c r="M1634" s="12">
        <f>ROUND(2172.1,2)</f>
        <v>2172.1</v>
      </c>
      <c r="N1634" s="12">
        <f>ROUND(1144.9,2)</f>
        <v>1144.9</v>
      </c>
      <c r="O1634" s="12">
        <f>ROUND(1578.37,2)</f>
        <v>1578.37</v>
      </c>
      <c r="P1634" s="14">
        <v>11.691629629629627</v>
      </c>
      <c r="Q1634" s="14">
        <v>16.089629629629627</v>
      </c>
    </row>
    <row r="1635" spans="1:17" ht="12.75" customHeight="1">
      <c r="A1635" s="15" t="s">
        <v>1038</v>
      </c>
      <c r="B1635" s="15"/>
      <c r="C1635" s="15"/>
      <c r="D1635" s="15"/>
      <c r="E1635" s="16" t="s">
        <v>1033</v>
      </c>
      <c r="F1635" s="17">
        <f>ROUND(0,2)</f>
        <v>0</v>
      </c>
      <c r="G1635" s="17">
        <f>ROUND(3780,2)</f>
        <v>3780</v>
      </c>
      <c r="H1635" s="17">
        <f>ROUND(0,2)</f>
        <v>0</v>
      </c>
      <c r="I1635" s="17">
        <f>ROUND(5969.53,2)</f>
        <v>5969.53</v>
      </c>
      <c r="J1635" s="17"/>
      <c r="K1635" s="17">
        <f>ROUND(0,2)</f>
        <v>0</v>
      </c>
      <c r="L1635" s="17"/>
      <c r="M1635" s="17">
        <f>ROUND(1027.2,2)</f>
        <v>1027.2</v>
      </c>
      <c r="N1635" s="17">
        <f>ROUND(0,2)</f>
        <v>0</v>
      </c>
      <c r="O1635" s="17">
        <f>ROUND(11327.9,2)</f>
        <v>11327.9</v>
      </c>
      <c r="P1635" s="18">
        <v>60.30837037037037</v>
      </c>
      <c r="Q1635" s="18">
        <v>52.70935960591133</v>
      </c>
    </row>
    <row r="1636" spans="1:17" ht="12.75" customHeight="1">
      <c r="A1636" s="19" t="s">
        <v>37</v>
      </c>
      <c r="B1636" s="19"/>
      <c r="C1636" s="19"/>
      <c r="D1636" s="19"/>
      <c r="E1636" s="20">
        <f>SUM('DS1'!$A$411)</f>
        <v>9500</v>
      </c>
      <c r="F1636" s="20">
        <v>4000</v>
      </c>
      <c r="G1636" s="20">
        <v>13500</v>
      </c>
      <c r="H1636" s="20">
        <v>8141.63</v>
      </c>
      <c r="I1636" s="21">
        <v>8141.63</v>
      </c>
      <c r="J1636" s="21"/>
      <c r="K1636" s="21">
        <v>2172.1</v>
      </c>
      <c r="L1636" s="21"/>
      <c r="M1636" s="20">
        <v>2172.1</v>
      </c>
      <c r="N1636" s="20">
        <v>1144.9</v>
      </c>
      <c r="O1636" s="20">
        <v>1578.37</v>
      </c>
      <c r="P1636" s="22">
        <v>11.691629629629627</v>
      </c>
      <c r="Q1636" s="22">
        <v>16.089629629629627</v>
      </c>
    </row>
    <row r="1637" spans="1:17" ht="12.75" customHeight="1">
      <c r="A1637" s="23"/>
      <c r="B1637" s="24"/>
      <c r="C1637" s="24"/>
      <c r="D1637" s="24"/>
      <c r="E1637" s="23"/>
      <c r="F1637" s="20">
        <v>0</v>
      </c>
      <c r="G1637" s="20">
        <v>3780</v>
      </c>
      <c r="H1637" s="20">
        <v>0</v>
      </c>
      <c r="I1637" s="21">
        <v>5969.530000000001</v>
      </c>
      <c r="J1637" s="21"/>
      <c r="K1637" s="21">
        <v>0</v>
      </c>
      <c r="L1637" s="21"/>
      <c r="M1637" s="20">
        <v>1027.1999999999998</v>
      </c>
      <c r="N1637" s="20">
        <v>0</v>
      </c>
      <c r="O1637" s="20">
        <v>11327.9</v>
      </c>
      <c r="P1637" s="22">
        <v>60.30837037037037</v>
      </c>
      <c r="Q1637" s="22">
        <v>52.70935960591133</v>
      </c>
    </row>
    <row r="1638" spans="1:17" ht="20.25" customHeight="1">
      <c r="A1638" s="23"/>
      <c r="B1638" s="24"/>
      <c r="C1638" s="24"/>
      <c r="D1638" s="24"/>
      <c r="E1638" s="23"/>
      <c r="F1638" s="23"/>
      <c r="G1638" s="23"/>
      <c r="H1638" s="23"/>
      <c r="I1638" s="24"/>
      <c r="J1638" s="24"/>
      <c r="K1638" s="24"/>
      <c r="L1638" s="24"/>
      <c r="M1638" s="23"/>
      <c r="N1638" s="23"/>
      <c r="O1638" s="23"/>
      <c r="P1638" s="23"/>
      <c r="Q1638" s="23"/>
    </row>
    <row r="1639" spans="1:17" ht="12.75" customHeight="1">
      <c r="A1639" s="10"/>
      <c r="B1639" s="11" t="s">
        <v>1039</v>
      </c>
      <c r="C1639" s="11"/>
      <c r="D1639" s="11"/>
      <c r="E1639" s="12">
        <f>ROUND(30000,2)</f>
        <v>30000</v>
      </c>
      <c r="F1639" s="12">
        <f aca="true" t="shared" si="978" ref="F1639:F1640">ROUND(0,2)</f>
        <v>0</v>
      </c>
      <c r="G1639" s="12">
        <f>ROUND(30000,2)</f>
        <v>30000</v>
      </c>
      <c r="H1639" s="12">
        <f>ROUND(11950,2)</f>
        <v>11950</v>
      </c>
      <c r="I1639" s="13">
        <f>ROUND(11950,2)</f>
        <v>11950</v>
      </c>
      <c r="J1639" s="13"/>
      <c r="K1639" s="13">
        <f>ROUND(11950,2)</f>
        <v>11950</v>
      </c>
      <c r="L1639" s="13"/>
      <c r="M1639" s="12">
        <f>ROUND(11950,2)</f>
        <v>11950</v>
      </c>
      <c r="N1639" s="12">
        <f>ROUND(11740,2)</f>
        <v>11740</v>
      </c>
      <c r="O1639" s="12">
        <f aca="true" t="shared" si="979" ref="O1639:O1640">ROUND(18050,2)</f>
        <v>18050</v>
      </c>
      <c r="P1639" s="14">
        <v>60.16666666666667</v>
      </c>
      <c r="Q1639" s="14">
        <v>39.83333333333333</v>
      </c>
    </row>
    <row r="1640" spans="1:17" ht="12.75" customHeight="1">
      <c r="A1640" s="15" t="s">
        <v>1040</v>
      </c>
      <c r="B1640" s="15"/>
      <c r="C1640" s="15"/>
      <c r="D1640" s="15"/>
      <c r="E1640" s="16" t="s">
        <v>1041</v>
      </c>
      <c r="F1640" s="17">
        <f t="shared" si="978"/>
        <v>0</v>
      </c>
      <c r="G1640" s="17">
        <f>ROUND(0,2)</f>
        <v>0</v>
      </c>
      <c r="H1640" s="17">
        <f>ROUND(0,2)</f>
        <v>0</v>
      </c>
      <c r="I1640" s="17">
        <f>ROUND(0,2)</f>
        <v>0</v>
      </c>
      <c r="J1640" s="17"/>
      <c r="K1640" s="17">
        <f>ROUND(0,2)</f>
        <v>0</v>
      </c>
      <c r="L1640" s="17"/>
      <c r="M1640" s="17">
        <f>ROUND(210,2)</f>
        <v>210</v>
      </c>
      <c r="N1640" s="17">
        <f>ROUND(0,2)</f>
        <v>0</v>
      </c>
      <c r="O1640" s="17">
        <f t="shared" si="979"/>
        <v>18050</v>
      </c>
      <c r="P1640" s="18">
        <v>39.83333333333333</v>
      </c>
      <c r="Q1640" s="18">
        <v>98.24267782426779</v>
      </c>
    </row>
    <row r="1641" spans="1:17" ht="12.75" customHeight="1">
      <c r="A1641" s="19" t="s">
        <v>132</v>
      </c>
      <c r="B1641" s="19"/>
      <c r="C1641" s="19"/>
      <c r="D1641" s="19"/>
      <c r="E1641" s="20">
        <f>SUM('DS1'!$A$412)</f>
        <v>30000</v>
      </c>
      <c r="F1641" s="20">
        <v>0</v>
      </c>
      <c r="G1641" s="20">
        <v>30000</v>
      </c>
      <c r="H1641" s="20">
        <v>11950</v>
      </c>
      <c r="I1641" s="21">
        <v>11950</v>
      </c>
      <c r="J1641" s="21"/>
      <c r="K1641" s="21">
        <v>11950</v>
      </c>
      <c r="L1641" s="21"/>
      <c r="M1641" s="20">
        <v>11950</v>
      </c>
      <c r="N1641" s="20">
        <v>11740</v>
      </c>
      <c r="O1641" s="20">
        <v>18050</v>
      </c>
      <c r="P1641" s="22">
        <v>60.16666666666667</v>
      </c>
      <c r="Q1641" s="22">
        <v>39.83333333333333</v>
      </c>
    </row>
    <row r="1642" spans="1:17" ht="12.75" customHeight="1">
      <c r="A1642" s="23"/>
      <c r="B1642" s="24"/>
      <c r="C1642" s="24"/>
      <c r="D1642" s="24"/>
      <c r="E1642" s="23"/>
      <c r="F1642" s="20">
        <v>0</v>
      </c>
      <c r="G1642" s="20">
        <v>0</v>
      </c>
      <c r="H1642" s="20">
        <v>0</v>
      </c>
      <c r="I1642" s="21">
        <v>0</v>
      </c>
      <c r="J1642" s="21"/>
      <c r="K1642" s="21">
        <v>0</v>
      </c>
      <c r="L1642" s="21"/>
      <c r="M1642" s="20">
        <v>210</v>
      </c>
      <c r="N1642" s="20">
        <v>0</v>
      </c>
      <c r="O1642" s="20">
        <v>18050</v>
      </c>
      <c r="P1642" s="22">
        <v>39.83333333333333</v>
      </c>
      <c r="Q1642" s="22">
        <v>98.24267782426779</v>
      </c>
    </row>
    <row r="1643" spans="1:17" ht="20.25" customHeight="1">
      <c r="A1643" s="23"/>
      <c r="B1643" s="24"/>
      <c r="C1643" s="24"/>
      <c r="D1643" s="24"/>
      <c r="E1643" s="23"/>
      <c r="F1643" s="23"/>
      <c r="G1643" s="23"/>
      <c r="H1643" s="23"/>
      <c r="I1643" s="24"/>
      <c r="J1643" s="24"/>
      <c r="K1643" s="24"/>
      <c r="L1643" s="24"/>
      <c r="M1643" s="23"/>
      <c r="N1643" s="23"/>
      <c r="O1643" s="23"/>
      <c r="P1643" s="23"/>
      <c r="Q1643" s="23"/>
    </row>
    <row r="1644" spans="1:17" ht="12.75" customHeight="1">
      <c r="A1644" s="10"/>
      <c r="B1644" s="11" t="s">
        <v>1042</v>
      </c>
      <c r="C1644" s="11"/>
      <c r="D1644" s="11"/>
      <c r="E1644" s="12">
        <f>ROUND(5000,2)</f>
        <v>5000</v>
      </c>
      <c r="F1644" s="12">
        <f aca="true" t="shared" si="980" ref="F1644:F1645">ROUND(0,2)</f>
        <v>0</v>
      </c>
      <c r="G1644" s="12">
        <f>ROUND(5000,2)</f>
        <v>5000</v>
      </c>
      <c r="H1644" s="12">
        <f>ROUND(2092.1,2)</f>
        <v>2092.1</v>
      </c>
      <c r="I1644" s="13">
        <f>ROUND(2092.1,2)</f>
        <v>2092.1</v>
      </c>
      <c r="J1644" s="13"/>
      <c r="K1644" s="13">
        <f>ROUND(2092.1,2)</f>
        <v>2092.1</v>
      </c>
      <c r="L1644" s="13"/>
      <c r="M1644" s="12">
        <f>ROUND(2092.1,2)</f>
        <v>2092.1</v>
      </c>
      <c r="N1644" s="12">
        <f>ROUND(2092.1,2)</f>
        <v>2092.1</v>
      </c>
      <c r="O1644" s="12">
        <f aca="true" t="shared" si="981" ref="O1644:O1645">ROUND(2907.9,2)</f>
        <v>2907.9</v>
      </c>
      <c r="P1644" s="14">
        <v>58.158</v>
      </c>
      <c r="Q1644" s="14">
        <v>41.842</v>
      </c>
    </row>
    <row r="1645" spans="1:17" ht="12.75" customHeight="1">
      <c r="A1645" s="15" t="s">
        <v>1043</v>
      </c>
      <c r="B1645" s="15"/>
      <c r="C1645" s="15"/>
      <c r="D1645" s="15"/>
      <c r="E1645" s="16" t="s">
        <v>1041</v>
      </c>
      <c r="F1645" s="17">
        <f t="shared" si="980"/>
        <v>0</v>
      </c>
      <c r="G1645" s="17">
        <f>ROUND(0,2)</f>
        <v>0</v>
      </c>
      <c r="H1645" s="17">
        <f>ROUND(0,2)</f>
        <v>0</v>
      </c>
      <c r="I1645" s="17">
        <f>ROUND(0,2)</f>
        <v>0</v>
      </c>
      <c r="J1645" s="17"/>
      <c r="K1645" s="17">
        <f>ROUND(0,2)</f>
        <v>0</v>
      </c>
      <c r="L1645" s="17"/>
      <c r="M1645" s="17">
        <f>ROUND(0,2)</f>
        <v>0</v>
      </c>
      <c r="N1645" s="17">
        <f>ROUND(0,2)</f>
        <v>0</v>
      </c>
      <c r="O1645" s="17">
        <f t="shared" si="981"/>
        <v>2907.9</v>
      </c>
      <c r="P1645" s="18">
        <v>41.842</v>
      </c>
      <c r="Q1645" s="18">
        <v>100</v>
      </c>
    </row>
    <row r="1646" spans="1:17" ht="12.75" customHeight="1">
      <c r="A1646" s="19" t="s">
        <v>1044</v>
      </c>
      <c r="B1646" s="19"/>
      <c r="C1646" s="19"/>
      <c r="D1646" s="19"/>
      <c r="E1646" s="20">
        <f>SUM('DS1'!$A$413)</f>
        <v>5000</v>
      </c>
      <c r="F1646" s="20">
        <v>0</v>
      </c>
      <c r="G1646" s="20">
        <v>5000</v>
      </c>
      <c r="H1646" s="20">
        <v>2092.1</v>
      </c>
      <c r="I1646" s="21">
        <v>2092.1</v>
      </c>
      <c r="J1646" s="21"/>
      <c r="K1646" s="21">
        <v>2092.1</v>
      </c>
      <c r="L1646" s="21"/>
      <c r="M1646" s="20">
        <v>2092.1</v>
      </c>
      <c r="N1646" s="20">
        <v>2092.1</v>
      </c>
      <c r="O1646" s="20">
        <v>2907.9</v>
      </c>
      <c r="P1646" s="22">
        <v>58.158</v>
      </c>
      <c r="Q1646" s="22">
        <v>41.842</v>
      </c>
    </row>
    <row r="1647" spans="1:17" ht="12.75" customHeight="1">
      <c r="A1647" s="23"/>
      <c r="B1647" s="24"/>
      <c r="C1647" s="24"/>
      <c r="D1647" s="24"/>
      <c r="E1647" s="23"/>
      <c r="F1647" s="20">
        <v>0</v>
      </c>
      <c r="G1647" s="20">
        <v>0</v>
      </c>
      <c r="H1647" s="20">
        <v>0</v>
      </c>
      <c r="I1647" s="21">
        <v>0</v>
      </c>
      <c r="J1647" s="21"/>
      <c r="K1647" s="21">
        <v>0</v>
      </c>
      <c r="L1647" s="21"/>
      <c r="M1647" s="20">
        <v>0</v>
      </c>
      <c r="N1647" s="20">
        <v>0</v>
      </c>
      <c r="O1647" s="20">
        <v>2907.9</v>
      </c>
      <c r="P1647" s="22">
        <v>41.842</v>
      </c>
      <c r="Q1647" s="22">
        <v>100</v>
      </c>
    </row>
    <row r="1648" spans="1:17" ht="20.25" customHeight="1">
      <c r="A1648" s="23"/>
      <c r="B1648" s="24"/>
      <c r="C1648" s="24"/>
      <c r="D1648" s="24"/>
      <c r="E1648" s="23"/>
      <c r="F1648" s="23"/>
      <c r="G1648" s="23"/>
      <c r="H1648" s="23"/>
      <c r="I1648" s="24"/>
      <c r="J1648" s="24"/>
      <c r="K1648" s="24"/>
      <c r="L1648" s="24"/>
      <c r="M1648" s="23"/>
      <c r="N1648" s="23"/>
      <c r="O1648" s="23"/>
      <c r="P1648" s="23"/>
      <c r="Q1648" s="23"/>
    </row>
    <row r="1649" spans="1:17" ht="12.75" customHeight="1">
      <c r="A1649" s="10"/>
      <c r="B1649" s="11" t="s">
        <v>1045</v>
      </c>
      <c r="C1649" s="11"/>
      <c r="D1649" s="11"/>
      <c r="E1649" s="12">
        <f>ROUND(0,2)</f>
        <v>0</v>
      </c>
      <c r="F1649" s="12">
        <f aca="true" t="shared" si="982" ref="F1649:F1650">ROUND(0,2)</f>
        <v>0</v>
      </c>
      <c r="G1649" s="12">
        <f aca="true" t="shared" si="983" ref="G1649:G1650">ROUND(0,2)</f>
        <v>0</v>
      </c>
      <c r="H1649" s="12">
        <f>ROUND(5489.1,2)</f>
        <v>5489.1</v>
      </c>
      <c r="I1649" s="13">
        <f>ROUND(5489.1,2)</f>
        <v>5489.1</v>
      </c>
      <c r="J1649" s="13"/>
      <c r="K1649" s="13">
        <f>ROUND(5489.1,2)</f>
        <v>5489.1</v>
      </c>
      <c r="L1649" s="13"/>
      <c r="M1649" s="12">
        <f>ROUND(5489.1,2)</f>
        <v>5489.1</v>
      </c>
      <c r="N1649" s="12">
        <f>ROUND(5489.1,2)</f>
        <v>5489.1</v>
      </c>
      <c r="O1649" s="12">
        <f aca="true" t="shared" si="984" ref="O1649:O1650">ROUND(-5489.1,2)</f>
        <v>-5489.1</v>
      </c>
      <c r="P1649" s="14">
        <v>0</v>
      </c>
      <c r="Q1649" s="14">
        <v>0</v>
      </c>
    </row>
    <row r="1650" spans="1:17" ht="12.75" customHeight="1">
      <c r="A1650" s="15" t="s">
        <v>1046</v>
      </c>
      <c r="B1650" s="15"/>
      <c r="C1650" s="15"/>
      <c r="D1650" s="15"/>
      <c r="E1650" s="16" t="s">
        <v>1041</v>
      </c>
      <c r="F1650" s="17">
        <f t="shared" si="982"/>
        <v>0</v>
      </c>
      <c r="G1650" s="17">
        <f t="shared" si="983"/>
        <v>0</v>
      </c>
      <c r="H1650" s="17">
        <f>ROUND(0,2)</f>
        <v>0</v>
      </c>
      <c r="I1650" s="17">
        <f>ROUND(0,2)</f>
        <v>0</v>
      </c>
      <c r="J1650" s="17"/>
      <c r="K1650" s="17">
        <f>ROUND(0,2)</f>
        <v>0</v>
      </c>
      <c r="L1650" s="17"/>
      <c r="M1650" s="17">
        <f>ROUND(0,2)</f>
        <v>0</v>
      </c>
      <c r="N1650" s="17">
        <f>ROUND(0,2)</f>
        <v>0</v>
      </c>
      <c r="O1650" s="17">
        <f t="shared" si="984"/>
        <v>-5489.1</v>
      </c>
      <c r="P1650" s="18">
        <v>0</v>
      </c>
      <c r="Q1650" s="18">
        <v>100</v>
      </c>
    </row>
    <row r="1651" spans="1:17" ht="12.75" customHeight="1">
      <c r="A1651" s="19" t="s">
        <v>1047</v>
      </c>
      <c r="B1651" s="19"/>
      <c r="C1651" s="19"/>
      <c r="D1651" s="19"/>
      <c r="E1651" s="20">
        <f>SUM('DS1'!$A$414)</f>
        <v>0</v>
      </c>
      <c r="F1651" s="20">
        <v>0</v>
      </c>
      <c r="G1651" s="20">
        <v>0</v>
      </c>
      <c r="H1651" s="20">
        <v>5489.1</v>
      </c>
      <c r="I1651" s="21">
        <v>5489.1</v>
      </c>
      <c r="J1651" s="21"/>
      <c r="K1651" s="21">
        <v>5489.1</v>
      </c>
      <c r="L1651" s="21"/>
      <c r="M1651" s="20">
        <v>5489.1</v>
      </c>
      <c r="N1651" s="20">
        <v>5489.1</v>
      </c>
      <c r="O1651" s="20">
        <v>-5489.1</v>
      </c>
      <c r="P1651" s="22">
        <v>0</v>
      </c>
      <c r="Q1651" s="22">
        <v>0</v>
      </c>
    </row>
    <row r="1652" spans="1:17" ht="12.75" customHeight="1">
      <c r="A1652" s="23"/>
      <c r="B1652" s="24"/>
      <c r="C1652" s="24"/>
      <c r="D1652" s="24"/>
      <c r="E1652" s="23"/>
      <c r="F1652" s="20">
        <v>0</v>
      </c>
      <c r="G1652" s="20">
        <v>0</v>
      </c>
      <c r="H1652" s="20">
        <v>0</v>
      </c>
      <c r="I1652" s="21">
        <v>0</v>
      </c>
      <c r="J1652" s="21"/>
      <c r="K1652" s="21">
        <v>0</v>
      </c>
      <c r="L1652" s="21"/>
      <c r="M1652" s="20">
        <v>0</v>
      </c>
      <c r="N1652" s="20">
        <v>0</v>
      </c>
      <c r="O1652" s="20">
        <v>-5489.1</v>
      </c>
      <c r="P1652" s="22">
        <v>0</v>
      </c>
      <c r="Q1652" s="22">
        <v>100</v>
      </c>
    </row>
    <row r="1653" spans="1:17" ht="20.25" customHeight="1">
      <c r="A1653" s="23"/>
      <c r="B1653" s="24"/>
      <c r="C1653" s="24"/>
      <c r="D1653" s="24"/>
      <c r="E1653" s="23"/>
      <c r="F1653" s="23"/>
      <c r="G1653" s="23"/>
      <c r="H1653" s="23"/>
      <c r="I1653" s="24"/>
      <c r="J1653" s="24"/>
      <c r="K1653" s="24"/>
      <c r="L1653" s="24"/>
      <c r="M1653" s="23"/>
      <c r="N1653" s="23"/>
      <c r="O1653" s="23"/>
      <c r="P1653" s="23"/>
      <c r="Q1653" s="23"/>
    </row>
    <row r="1654" spans="1:17" ht="12.75" customHeight="1">
      <c r="A1654" s="10"/>
      <c r="B1654" s="11" t="s">
        <v>1048</v>
      </c>
      <c r="C1654" s="11"/>
      <c r="D1654" s="11"/>
      <c r="E1654" s="12">
        <f>ROUND(38364,2)</f>
        <v>38364</v>
      </c>
      <c r="F1654" s="12">
        <f aca="true" t="shared" si="985" ref="F1654:F1655">ROUND(0,2)</f>
        <v>0</v>
      </c>
      <c r="G1654" s="12">
        <f>ROUND(38364,2)</f>
        <v>38364</v>
      </c>
      <c r="H1654" s="12">
        <f>ROUND(6384,2)</f>
        <v>6384</v>
      </c>
      <c r="I1654" s="13">
        <f>ROUND(6384,2)</f>
        <v>6384</v>
      </c>
      <c r="J1654" s="13"/>
      <c r="K1654" s="13">
        <f>ROUND(6384,2)</f>
        <v>6384</v>
      </c>
      <c r="L1654" s="13"/>
      <c r="M1654" s="12">
        <f>ROUND(6384,2)</f>
        <v>6384</v>
      </c>
      <c r="N1654" s="12">
        <f>ROUND(6384,2)</f>
        <v>6384</v>
      </c>
      <c r="O1654" s="12">
        <f>ROUND(25995,2)</f>
        <v>25995</v>
      </c>
      <c r="P1654" s="14">
        <v>67.75883640913356</v>
      </c>
      <c r="Q1654" s="14">
        <v>16.64060056302784</v>
      </c>
    </row>
    <row r="1655" spans="1:17" ht="12.75" customHeight="1">
      <c r="A1655" s="15" t="s">
        <v>1049</v>
      </c>
      <c r="B1655" s="15"/>
      <c r="C1655" s="15"/>
      <c r="D1655" s="15"/>
      <c r="E1655" s="16" t="s">
        <v>1050</v>
      </c>
      <c r="F1655" s="17">
        <f t="shared" si="985"/>
        <v>0</v>
      </c>
      <c r="G1655" s="17">
        <f>ROUND(5985,2)</f>
        <v>5985</v>
      </c>
      <c r="H1655" s="17">
        <f>ROUND(0,2)</f>
        <v>0</v>
      </c>
      <c r="I1655" s="17">
        <f>ROUND(0,2)</f>
        <v>0</v>
      </c>
      <c r="J1655" s="17"/>
      <c r="K1655" s="17">
        <f>ROUND(0,2)</f>
        <v>0</v>
      </c>
      <c r="L1655" s="17"/>
      <c r="M1655" s="17">
        <f>ROUND(0,2)</f>
        <v>0</v>
      </c>
      <c r="N1655" s="17">
        <f>ROUND(0,2)</f>
        <v>0</v>
      </c>
      <c r="O1655" s="17">
        <f>ROUND(31980,2)</f>
        <v>31980</v>
      </c>
      <c r="P1655" s="18">
        <v>16.64060056302784</v>
      </c>
      <c r="Q1655" s="18">
        <v>100</v>
      </c>
    </row>
    <row r="1656" spans="1:17" ht="12.75" customHeight="1">
      <c r="A1656" s="10" t="s">
        <v>83</v>
      </c>
      <c r="B1656" s="11" t="s">
        <v>1051</v>
      </c>
      <c r="C1656" s="11"/>
      <c r="D1656" s="11"/>
      <c r="E1656" s="12">
        <f>ROUND(0,2)</f>
        <v>0</v>
      </c>
      <c r="F1656" s="12">
        <f aca="true" t="shared" si="986" ref="F1656:F1657">ROUND(26322.75,2)</f>
        <v>26322.75</v>
      </c>
      <c r="G1656" s="12">
        <f>ROUND(26322.75,2)</f>
        <v>26322.75</v>
      </c>
      <c r="H1656" s="12">
        <f>ROUND(10944,2)</f>
        <v>10944</v>
      </c>
      <c r="I1656" s="13">
        <f>ROUND(10944,2)</f>
        <v>10944</v>
      </c>
      <c r="J1656" s="13"/>
      <c r="K1656" s="13">
        <f>ROUND(10944,2)</f>
        <v>10944</v>
      </c>
      <c r="L1656" s="13"/>
      <c r="M1656" s="12">
        <f>ROUND(10944,2)</f>
        <v>10944</v>
      </c>
      <c r="N1656" s="12">
        <f>ROUND(10944,2)</f>
        <v>10944</v>
      </c>
      <c r="O1656" s="12">
        <f aca="true" t="shared" si="987" ref="O1656:O1657">ROUND(15378.75,2)</f>
        <v>15378.75</v>
      </c>
      <c r="P1656" s="14">
        <v>58.42379690571844</v>
      </c>
      <c r="Q1656" s="14">
        <v>41.57620309428156</v>
      </c>
    </row>
    <row r="1657" spans="1:17" ht="12.75" customHeight="1">
      <c r="A1657" s="15" t="s">
        <v>1052</v>
      </c>
      <c r="B1657" s="15"/>
      <c r="C1657" s="15"/>
      <c r="D1657" s="15"/>
      <c r="E1657" s="16" t="s">
        <v>1053</v>
      </c>
      <c r="F1657" s="17">
        <f t="shared" si="986"/>
        <v>26322.75</v>
      </c>
      <c r="G1657" s="17">
        <f>ROUND(0,2)</f>
        <v>0</v>
      </c>
      <c r="H1657" s="17">
        <f>ROUND(0,2)</f>
        <v>0</v>
      </c>
      <c r="I1657" s="17">
        <f>ROUND(0,2)</f>
        <v>0</v>
      </c>
      <c r="J1657" s="17"/>
      <c r="K1657" s="17">
        <f>ROUND(0,2)</f>
        <v>0</v>
      </c>
      <c r="L1657" s="17"/>
      <c r="M1657" s="17">
        <f>ROUND(0,2)</f>
        <v>0</v>
      </c>
      <c r="N1657" s="17">
        <f>ROUND(0,2)</f>
        <v>0</v>
      </c>
      <c r="O1657" s="17">
        <f t="shared" si="987"/>
        <v>15378.75</v>
      </c>
      <c r="P1657" s="18">
        <v>41.57620309428156</v>
      </c>
      <c r="Q1657" s="18">
        <v>100</v>
      </c>
    </row>
    <row r="1658" spans="1:17" ht="12.75" customHeight="1">
      <c r="A1658" s="19" t="s">
        <v>461</v>
      </c>
      <c r="B1658" s="19"/>
      <c r="C1658" s="19"/>
      <c r="D1658" s="19"/>
      <c r="E1658" s="20">
        <f>SUM('DS1'!$A$415:$A$416)</f>
        <v>38364</v>
      </c>
      <c r="F1658" s="20">
        <v>26322.75</v>
      </c>
      <c r="G1658" s="20">
        <v>64686.75</v>
      </c>
      <c r="H1658" s="20">
        <v>17328</v>
      </c>
      <c r="I1658" s="21">
        <v>17328</v>
      </c>
      <c r="J1658" s="21"/>
      <c r="K1658" s="21">
        <v>17328</v>
      </c>
      <c r="L1658" s="21"/>
      <c r="M1658" s="20">
        <v>17328</v>
      </c>
      <c r="N1658" s="20">
        <v>17328</v>
      </c>
      <c r="O1658" s="20">
        <v>41373.75</v>
      </c>
      <c r="P1658" s="22">
        <v>63.96016185694907</v>
      </c>
      <c r="Q1658" s="22">
        <v>26.78755695718211</v>
      </c>
    </row>
    <row r="1659" spans="1:17" ht="12.75" customHeight="1">
      <c r="A1659" s="23"/>
      <c r="B1659" s="24"/>
      <c r="C1659" s="24"/>
      <c r="D1659" s="24"/>
      <c r="E1659" s="23"/>
      <c r="F1659" s="20">
        <v>26322.75</v>
      </c>
      <c r="G1659" s="20">
        <v>5985</v>
      </c>
      <c r="H1659" s="20">
        <v>0</v>
      </c>
      <c r="I1659" s="21">
        <v>0</v>
      </c>
      <c r="J1659" s="21"/>
      <c r="K1659" s="21">
        <v>0</v>
      </c>
      <c r="L1659" s="21"/>
      <c r="M1659" s="20">
        <v>0</v>
      </c>
      <c r="N1659" s="20">
        <v>0</v>
      </c>
      <c r="O1659" s="20">
        <v>47358.75</v>
      </c>
      <c r="P1659" s="22">
        <v>26.78755695718211</v>
      </c>
      <c r="Q1659" s="22">
        <v>100</v>
      </c>
    </row>
    <row r="1660" spans="1:17" ht="20.25" customHeight="1">
      <c r="A1660" s="23"/>
      <c r="B1660" s="24"/>
      <c r="C1660" s="24"/>
      <c r="D1660" s="24"/>
      <c r="E1660" s="23"/>
      <c r="F1660" s="23"/>
      <c r="G1660" s="23"/>
      <c r="H1660" s="23"/>
      <c r="I1660" s="24"/>
      <c r="J1660" s="24"/>
      <c r="K1660" s="24"/>
      <c r="L1660" s="24"/>
      <c r="M1660" s="23"/>
      <c r="N1660" s="23"/>
      <c r="O1660" s="23"/>
      <c r="P1660" s="23"/>
      <c r="Q1660" s="23"/>
    </row>
    <row r="1661" spans="1:17" ht="12.75" customHeight="1">
      <c r="A1661" s="19" t="s">
        <v>1054</v>
      </c>
      <c r="B1661" s="19"/>
      <c r="C1661" s="19"/>
      <c r="D1661" s="19"/>
      <c r="E1661" s="20">
        <f>SUM('DS1'!$A$405:$A$416)</f>
        <v>1037321.2</v>
      </c>
      <c r="F1661" s="20">
        <v>26322.75</v>
      </c>
      <c r="G1661" s="20">
        <v>1063643.9500000002</v>
      </c>
      <c r="H1661" s="20">
        <v>952962.18</v>
      </c>
      <c r="I1661" s="21">
        <v>952962.18</v>
      </c>
      <c r="J1661" s="21"/>
      <c r="K1661" s="21">
        <v>940009.83</v>
      </c>
      <c r="L1661" s="21"/>
      <c r="M1661" s="20">
        <v>940009.83</v>
      </c>
      <c r="N1661" s="20">
        <v>935324.33</v>
      </c>
      <c r="O1661" s="20">
        <v>100421.77</v>
      </c>
      <c r="P1661" s="22">
        <v>9.441295651613492</v>
      </c>
      <c r="Q1661" s="22">
        <v>88.37636222158739</v>
      </c>
    </row>
    <row r="1662" spans="1:17" ht="12.75" customHeight="1">
      <c r="A1662" s="23"/>
      <c r="B1662" s="24"/>
      <c r="C1662" s="24"/>
      <c r="D1662" s="24"/>
      <c r="E1662" s="23"/>
      <c r="F1662" s="20">
        <v>26322.75</v>
      </c>
      <c r="G1662" s="20">
        <v>10260</v>
      </c>
      <c r="H1662" s="20">
        <v>0</v>
      </c>
      <c r="I1662" s="21">
        <v>12952.350000000002</v>
      </c>
      <c r="J1662" s="21"/>
      <c r="K1662" s="21">
        <v>0</v>
      </c>
      <c r="L1662" s="21"/>
      <c r="M1662" s="20">
        <v>4685.5</v>
      </c>
      <c r="N1662" s="20">
        <v>0</v>
      </c>
      <c r="O1662" s="20">
        <v>123634.12</v>
      </c>
      <c r="P1662" s="22">
        <v>89.59409584382065</v>
      </c>
      <c r="Q1662" s="22">
        <v>99.50154776572921</v>
      </c>
    </row>
    <row r="1663" spans="1:17" ht="18" customHeight="1">
      <c r="A1663" s="23"/>
      <c r="B1663" s="24"/>
      <c r="C1663" s="24"/>
      <c r="D1663" s="24"/>
      <c r="E1663" s="23"/>
      <c r="F1663" s="23"/>
      <c r="G1663" s="23"/>
      <c r="H1663" s="23"/>
      <c r="I1663" s="24"/>
      <c r="J1663" s="24"/>
      <c r="K1663" s="24"/>
      <c r="L1663" s="24"/>
      <c r="M1663" s="23"/>
      <c r="N1663" s="23"/>
      <c r="O1663" s="23"/>
      <c r="P1663" s="23"/>
      <c r="Q1663" s="23"/>
    </row>
    <row r="1664" spans="1:17" ht="12.75" customHeight="1">
      <c r="A1664" s="10"/>
      <c r="B1664" s="11" t="s">
        <v>1055</v>
      </c>
      <c r="C1664" s="11"/>
      <c r="D1664" s="11"/>
      <c r="E1664" s="12">
        <f>ROUND(8333.36,2)</f>
        <v>8333.36</v>
      </c>
      <c r="F1664" s="12">
        <f>ROUND(75,2)</f>
        <v>75</v>
      </c>
      <c r="G1664" s="12">
        <f>ROUND(8408.36,2)</f>
        <v>8408.36</v>
      </c>
      <c r="H1664" s="12">
        <f aca="true" t="shared" si="988" ref="H1664:H1665">ROUND(0,2)</f>
        <v>0</v>
      </c>
      <c r="I1664" s="13">
        <f aca="true" t="shared" si="989" ref="I1664:I1665">ROUND(0,2)</f>
        <v>0</v>
      </c>
      <c r="J1664" s="13"/>
      <c r="K1664" s="13">
        <f aca="true" t="shared" si="990" ref="K1664:K1665">ROUND(0,2)</f>
        <v>0</v>
      </c>
      <c r="L1664" s="13"/>
      <c r="M1664" s="12">
        <f aca="true" t="shared" si="991" ref="M1664:M1665">ROUND(0,2)</f>
        <v>0</v>
      </c>
      <c r="N1664" s="12">
        <f aca="true" t="shared" si="992" ref="N1664:N1665">ROUND(0,2)</f>
        <v>0</v>
      </c>
      <c r="O1664" s="12">
        <f aca="true" t="shared" si="993" ref="O1664:O1665">ROUND(8408.36,2)</f>
        <v>8408.36</v>
      </c>
      <c r="P1664" s="14">
        <v>100</v>
      </c>
      <c r="Q1664" s="14">
        <v>0</v>
      </c>
    </row>
    <row r="1665" spans="1:17" ht="12.75" customHeight="1">
      <c r="A1665" s="15" t="s">
        <v>1056</v>
      </c>
      <c r="B1665" s="15"/>
      <c r="C1665" s="15"/>
      <c r="D1665" s="15"/>
      <c r="E1665" s="16" t="s">
        <v>1022</v>
      </c>
      <c r="F1665" s="17">
        <f>ROUND(0,2)</f>
        <v>0</v>
      </c>
      <c r="G1665" s="17">
        <f>ROUND(0,2)</f>
        <v>0</v>
      </c>
      <c r="H1665" s="17">
        <f t="shared" si="988"/>
        <v>0</v>
      </c>
      <c r="I1665" s="17">
        <f t="shared" si="989"/>
        <v>0</v>
      </c>
      <c r="J1665" s="17"/>
      <c r="K1665" s="17">
        <f t="shared" si="990"/>
        <v>0</v>
      </c>
      <c r="L1665" s="17"/>
      <c r="M1665" s="17">
        <f t="shared" si="991"/>
        <v>0</v>
      </c>
      <c r="N1665" s="17">
        <f t="shared" si="992"/>
        <v>0</v>
      </c>
      <c r="O1665" s="17">
        <f t="shared" si="993"/>
        <v>8408.36</v>
      </c>
      <c r="P1665" s="18">
        <v>0</v>
      </c>
      <c r="Q1665" s="18">
        <v>0</v>
      </c>
    </row>
    <row r="1666" spans="1:17" ht="12.75" customHeight="1">
      <c r="A1666" s="10"/>
      <c r="B1666" s="11" t="s">
        <v>1057</v>
      </c>
      <c r="C1666" s="11"/>
      <c r="D1666" s="11"/>
      <c r="E1666" s="12">
        <f>ROUND(95573.4,2)</f>
        <v>95573.4</v>
      </c>
      <c r="F1666" s="12">
        <f>ROUND(860.16,2)</f>
        <v>860.16</v>
      </c>
      <c r="G1666" s="12">
        <f>ROUND(96433.56,2)</f>
        <v>96433.56</v>
      </c>
      <c r="H1666" s="12">
        <f>ROUND(42688.95,2)</f>
        <v>42688.95</v>
      </c>
      <c r="I1666" s="13">
        <f>ROUND(42688.95,2)</f>
        <v>42688.95</v>
      </c>
      <c r="J1666" s="13"/>
      <c r="K1666" s="13">
        <f>ROUND(42688.95,2)</f>
        <v>42688.95</v>
      </c>
      <c r="L1666" s="13"/>
      <c r="M1666" s="12">
        <f>ROUND(42688.95,2)</f>
        <v>42688.95</v>
      </c>
      <c r="N1666" s="12">
        <f>ROUND(42688.95,2)</f>
        <v>42688.95</v>
      </c>
      <c r="O1666" s="12">
        <f aca="true" t="shared" si="994" ref="O1666:O1667">ROUND(53744.61,2)</f>
        <v>53744.61</v>
      </c>
      <c r="P1666" s="14">
        <v>55.73226789511867</v>
      </c>
      <c r="Q1666" s="14">
        <v>44.26773210488133</v>
      </c>
    </row>
    <row r="1667" spans="1:17" ht="12.75" customHeight="1">
      <c r="A1667" s="15" t="s">
        <v>1058</v>
      </c>
      <c r="B1667" s="15"/>
      <c r="C1667" s="15"/>
      <c r="D1667" s="15"/>
      <c r="E1667" s="16" t="s">
        <v>1022</v>
      </c>
      <c r="F1667" s="17">
        <f>ROUND(0,2)</f>
        <v>0</v>
      </c>
      <c r="G1667" s="17">
        <f>ROUND(0,2)</f>
        <v>0</v>
      </c>
      <c r="H1667" s="17">
        <f>ROUND(0,2)</f>
        <v>0</v>
      </c>
      <c r="I1667" s="17">
        <f>ROUND(0,2)</f>
        <v>0</v>
      </c>
      <c r="J1667" s="17"/>
      <c r="K1667" s="17">
        <f>ROUND(0,2)</f>
        <v>0</v>
      </c>
      <c r="L1667" s="17"/>
      <c r="M1667" s="17">
        <f>ROUND(0,2)</f>
        <v>0</v>
      </c>
      <c r="N1667" s="17">
        <f>ROUND(0,2)</f>
        <v>0</v>
      </c>
      <c r="O1667" s="17">
        <f t="shared" si="994"/>
        <v>53744.61</v>
      </c>
      <c r="P1667" s="18">
        <v>44.26773210488133</v>
      </c>
      <c r="Q1667" s="18">
        <v>100</v>
      </c>
    </row>
    <row r="1668" spans="1:17" ht="12.75" customHeight="1">
      <c r="A1668" s="10"/>
      <c r="B1668" s="11" t="s">
        <v>1059</v>
      </c>
      <c r="C1668" s="11"/>
      <c r="D1668" s="11"/>
      <c r="E1668" s="12">
        <f>ROUND(21455.56,2)</f>
        <v>21455.56</v>
      </c>
      <c r="F1668" s="12">
        <f>ROUND(193.1,2)</f>
        <v>193.1</v>
      </c>
      <c r="G1668" s="12">
        <f>ROUND(21648.66,2)</f>
        <v>21648.66</v>
      </c>
      <c r="H1668" s="12">
        <f>ROUND(10823.9,2)</f>
        <v>10823.9</v>
      </c>
      <c r="I1668" s="13">
        <f>ROUND(10823.9,2)</f>
        <v>10823.9</v>
      </c>
      <c r="J1668" s="13"/>
      <c r="K1668" s="13">
        <f>ROUND(10823.9,2)</f>
        <v>10823.9</v>
      </c>
      <c r="L1668" s="13"/>
      <c r="M1668" s="12">
        <f>ROUND(10823.9,2)</f>
        <v>10823.9</v>
      </c>
      <c r="N1668" s="12">
        <f>ROUND(10823.9,2)</f>
        <v>10823.9</v>
      </c>
      <c r="O1668" s="12">
        <f aca="true" t="shared" si="995" ref="O1668:O1669">ROUND(10824.76,2)</f>
        <v>10824.76</v>
      </c>
      <c r="P1668" s="14">
        <v>50.001986266124554</v>
      </c>
      <c r="Q1668" s="14">
        <v>49.998013733875446</v>
      </c>
    </row>
    <row r="1669" spans="1:17" ht="12.75" customHeight="1">
      <c r="A1669" s="15" t="s">
        <v>1060</v>
      </c>
      <c r="B1669" s="15"/>
      <c r="C1669" s="15"/>
      <c r="D1669" s="15"/>
      <c r="E1669" s="16" t="s">
        <v>1022</v>
      </c>
      <c r="F1669" s="17">
        <f>ROUND(0,2)</f>
        <v>0</v>
      </c>
      <c r="G1669" s="17">
        <f>ROUND(0,2)</f>
        <v>0</v>
      </c>
      <c r="H1669" s="17">
        <f>ROUND(0,2)</f>
        <v>0</v>
      </c>
      <c r="I1669" s="17">
        <f>ROUND(0,2)</f>
        <v>0</v>
      </c>
      <c r="J1669" s="17"/>
      <c r="K1669" s="17">
        <f>ROUND(0,2)</f>
        <v>0</v>
      </c>
      <c r="L1669" s="17"/>
      <c r="M1669" s="17">
        <f>ROUND(0,2)</f>
        <v>0</v>
      </c>
      <c r="N1669" s="17">
        <f>ROUND(0,2)</f>
        <v>0</v>
      </c>
      <c r="O1669" s="17">
        <f t="shared" si="995"/>
        <v>10824.76</v>
      </c>
      <c r="P1669" s="18">
        <v>49.998013733875446</v>
      </c>
      <c r="Q1669" s="18">
        <v>100</v>
      </c>
    </row>
    <row r="1670" spans="1:17" ht="12.75" customHeight="1">
      <c r="A1670" s="10"/>
      <c r="B1670" s="11" t="s">
        <v>1061</v>
      </c>
      <c r="C1670" s="11"/>
      <c r="D1670" s="11"/>
      <c r="E1670" s="12">
        <f>ROUND(36372.24,2)</f>
        <v>36372.24</v>
      </c>
      <c r="F1670" s="12">
        <f>ROUND(327.35,2)</f>
        <v>327.35</v>
      </c>
      <c r="G1670" s="12">
        <f>ROUND(36699.59,2)</f>
        <v>36699.59</v>
      </c>
      <c r="H1670" s="12">
        <f>ROUND(35092.11,2)</f>
        <v>35092.11</v>
      </c>
      <c r="I1670" s="13">
        <f>ROUND(35092.11,2)</f>
        <v>35092.11</v>
      </c>
      <c r="J1670" s="13"/>
      <c r="K1670" s="13">
        <f>ROUND(35092.11,2)</f>
        <v>35092.11</v>
      </c>
      <c r="L1670" s="13"/>
      <c r="M1670" s="12">
        <f>ROUND(35092.11,2)</f>
        <v>35092.11</v>
      </c>
      <c r="N1670" s="12">
        <f>ROUND(35092.11,2)</f>
        <v>35092.11</v>
      </c>
      <c r="O1670" s="12">
        <f>ROUND(1607.48,2)</f>
        <v>1607.48</v>
      </c>
      <c r="P1670" s="14">
        <v>4.380103428948389</v>
      </c>
      <c r="Q1670" s="14">
        <v>95.61989657105163</v>
      </c>
    </row>
    <row r="1671" spans="1:17" ht="12.75" customHeight="1">
      <c r="A1671" s="15" t="s">
        <v>1062</v>
      </c>
      <c r="B1671" s="15"/>
      <c r="C1671" s="15"/>
      <c r="D1671" s="15"/>
      <c r="E1671" s="16" t="s">
        <v>1022</v>
      </c>
      <c r="F1671" s="17">
        <f>ROUND(0,2)</f>
        <v>0</v>
      </c>
      <c r="G1671" s="17">
        <f>ROUND(0,2)</f>
        <v>0</v>
      </c>
      <c r="H1671" s="17">
        <f>ROUND(0,2)</f>
        <v>0</v>
      </c>
      <c r="I1671" s="17">
        <f>ROUND(0,2)</f>
        <v>0</v>
      </c>
      <c r="J1671" s="17"/>
      <c r="K1671" s="17">
        <f>ROUND(0,2)</f>
        <v>0</v>
      </c>
      <c r="L1671" s="17"/>
      <c r="M1671" s="17">
        <f>ROUND(0,2)</f>
        <v>0</v>
      </c>
      <c r="N1671" s="17">
        <f>ROUND(0,2)</f>
        <v>0</v>
      </c>
      <c r="O1671" s="17">
        <f>ROUND(1607.48,2)</f>
        <v>1607.48</v>
      </c>
      <c r="P1671" s="18">
        <v>95.61989657105163</v>
      </c>
      <c r="Q1671" s="18">
        <v>100</v>
      </c>
    </row>
    <row r="1672" spans="1:17" ht="12.75" customHeight="1">
      <c r="A1672" s="10"/>
      <c r="B1672" s="11" t="s">
        <v>1063</v>
      </c>
      <c r="C1672" s="11"/>
      <c r="D1672" s="11"/>
      <c r="E1672" s="12">
        <f>ROUND(21483.74,2)</f>
        <v>21483.74</v>
      </c>
      <c r="F1672" s="12">
        <f>ROUND(193.35,2)</f>
        <v>193.35</v>
      </c>
      <c r="G1672" s="12">
        <f>ROUND(21677.09,2)</f>
        <v>21677.09</v>
      </c>
      <c r="H1672" s="12">
        <f>ROUND(22397.71,2)</f>
        <v>22397.71</v>
      </c>
      <c r="I1672" s="13">
        <f>ROUND(22397.71,2)</f>
        <v>22397.71</v>
      </c>
      <c r="J1672" s="13"/>
      <c r="K1672" s="13">
        <f>ROUND(22397.71,2)</f>
        <v>22397.71</v>
      </c>
      <c r="L1672" s="13"/>
      <c r="M1672" s="12">
        <f>ROUND(22397.71,2)</f>
        <v>22397.71</v>
      </c>
      <c r="N1672" s="12">
        <f>ROUND(22397.71,2)</f>
        <v>22397.71</v>
      </c>
      <c r="O1672" s="12">
        <f>ROUND(-720.62,2)</f>
        <v>-720.62</v>
      </c>
      <c r="P1672" s="14">
        <v>-3.3243391986655033</v>
      </c>
      <c r="Q1672" s="14">
        <v>103.3243391986655</v>
      </c>
    </row>
    <row r="1673" spans="1:17" ht="12.75" customHeight="1">
      <c r="A1673" s="15" t="s">
        <v>1064</v>
      </c>
      <c r="B1673" s="15"/>
      <c r="C1673" s="15"/>
      <c r="D1673" s="15"/>
      <c r="E1673" s="16" t="s">
        <v>1022</v>
      </c>
      <c r="F1673" s="17">
        <f>ROUND(0,2)</f>
        <v>0</v>
      </c>
      <c r="G1673" s="17">
        <f>ROUND(0,2)</f>
        <v>0</v>
      </c>
      <c r="H1673" s="17">
        <f>ROUND(0,2)</f>
        <v>0</v>
      </c>
      <c r="I1673" s="17">
        <f>ROUND(0,2)</f>
        <v>0</v>
      </c>
      <c r="J1673" s="17"/>
      <c r="K1673" s="17">
        <f>ROUND(0,2)</f>
        <v>0</v>
      </c>
      <c r="L1673" s="17"/>
      <c r="M1673" s="17">
        <f>ROUND(0,2)</f>
        <v>0</v>
      </c>
      <c r="N1673" s="17">
        <f>ROUND(0,2)</f>
        <v>0</v>
      </c>
      <c r="O1673" s="17">
        <f>ROUND(-720.619999999999,2)</f>
        <v>-720.62</v>
      </c>
      <c r="P1673" s="18">
        <v>103.3243391986655</v>
      </c>
      <c r="Q1673" s="18">
        <v>100</v>
      </c>
    </row>
    <row r="1674" spans="1:17" ht="12.75" customHeight="1">
      <c r="A1674" s="19" t="s">
        <v>48</v>
      </c>
      <c r="B1674" s="19"/>
      <c r="C1674" s="19"/>
      <c r="D1674" s="19"/>
      <c r="E1674" s="20">
        <f>SUM('DS1'!$A$417:$A$421)</f>
        <v>183218.3</v>
      </c>
      <c r="F1674" s="20">
        <v>1648.96</v>
      </c>
      <c r="G1674" s="20">
        <v>184867.25999999998</v>
      </c>
      <c r="H1674" s="20">
        <v>111002.67</v>
      </c>
      <c r="I1674" s="21">
        <v>111002.67</v>
      </c>
      <c r="J1674" s="21"/>
      <c r="K1674" s="21">
        <v>111002.67</v>
      </c>
      <c r="L1674" s="21"/>
      <c r="M1674" s="20">
        <v>111002.67</v>
      </c>
      <c r="N1674" s="20">
        <v>111002.67</v>
      </c>
      <c r="O1674" s="20">
        <v>73864.59</v>
      </c>
      <c r="P1674" s="22">
        <v>39.955473997937766</v>
      </c>
      <c r="Q1674" s="22">
        <v>60.044526002062234</v>
      </c>
    </row>
    <row r="1675" spans="1:17" ht="12.75" customHeight="1">
      <c r="A1675" s="23"/>
      <c r="B1675" s="24"/>
      <c r="C1675" s="24"/>
      <c r="D1675" s="24"/>
      <c r="E1675" s="23"/>
      <c r="F1675" s="20">
        <v>0</v>
      </c>
      <c r="G1675" s="20">
        <v>0</v>
      </c>
      <c r="H1675" s="20">
        <v>0</v>
      </c>
      <c r="I1675" s="21">
        <v>0</v>
      </c>
      <c r="J1675" s="21"/>
      <c r="K1675" s="21">
        <v>0</v>
      </c>
      <c r="L1675" s="21"/>
      <c r="M1675" s="20">
        <v>0</v>
      </c>
      <c r="N1675" s="20">
        <v>0</v>
      </c>
      <c r="O1675" s="20">
        <v>73864.59</v>
      </c>
      <c r="P1675" s="22">
        <v>60.044526002062234</v>
      </c>
      <c r="Q1675" s="22">
        <v>100</v>
      </c>
    </row>
    <row r="1676" spans="1:17" ht="20.25" customHeight="1">
      <c r="A1676" s="23"/>
      <c r="B1676" s="24"/>
      <c r="C1676" s="24"/>
      <c r="D1676" s="24"/>
      <c r="E1676" s="23"/>
      <c r="F1676" s="23"/>
      <c r="G1676" s="23"/>
      <c r="H1676" s="23"/>
      <c r="I1676" s="24"/>
      <c r="J1676" s="24"/>
      <c r="K1676" s="24"/>
      <c r="L1676" s="24"/>
      <c r="M1676" s="23"/>
      <c r="N1676" s="23"/>
      <c r="O1676" s="23"/>
      <c r="P1676" s="23"/>
      <c r="Q1676" s="23"/>
    </row>
    <row r="1677" spans="1:17" ht="12.75" customHeight="1">
      <c r="A1677" s="10"/>
      <c r="B1677" s="11" t="s">
        <v>1065</v>
      </c>
      <c r="C1677" s="11"/>
      <c r="D1677" s="11"/>
      <c r="E1677" s="12">
        <f>ROUND(22482.84,2)</f>
        <v>22482.84</v>
      </c>
      <c r="F1677" s="12">
        <f>ROUND(202.35,2)</f>
        <v>202.35</v>
      </c>
      <c r="G1677" s="12">
        <f>ROUND(22685.19,2)</f>
        <v>22685.19</v>
      </c>
      <c r="H1677" s="12">
        <f>ROUND(12427.98,2)</f>
        <v>12427.98</v>
      </c>
      <c r="I1677" s="13">
        <f>ROUND(12427.98,2)</f>
        <v>12427.98</v>
      </c>
      <c r="J1677" s="13"/>
      <c r="K1677" s="13">
        <f>ROUND(12427.98,2)</f>
        <v>12427.98</v>
      </c>
      <c r="L1677" s="13"/>
      <c r="M1677" s="12">
        <f>ROUND(12427.98,2)</f>
        <v>12427.98</v>
      </c>
      <c r="N1677" s="12">
        <f>ROUND(12427.98,2)</f>
        <v>12427.98</v>
      </c>
      <c r="O1677" s="12">
        <f aca="true" t="shared" si="996" ref="O1677:O1678">ROUND(10257.21,2)</f>
        <v>10257.21</v>
      </c>
      <c r="P1677" s="14">
        <v>45.215446729782734</v>
      </c>
      <c r="Q1677" s="14">
        <v>54.78455327021726</v>
      </c>
    </row>
    <row r="1678" spans="1:17" ht="12.75" customHeight="1">
      <c r="A1678" s="15" t="s">
        <v>1066</v>
      </c>
      <c r="B1678" s="15"/>
      <c r="C1678" s="15"/>
      <c r="D1678" s="15"/>
      <c r="E1678" s="16" t="s">
        <v>1022</v>
      </c>
      <c r="F1678" s="17">
        <f>ROUND(0,2)</f>
        <v>0</v>
      </c>
      <c r="G1678" s="17">
        <f>ROUND(0,2)</f>
        <v>0</v>
      </c>
      <c r="H1678" s="17">
        <f aca="true" t="shared" si="997" ref="H1678:H1680">ROUND(0,2)</f>
        <v>0</v>
      </c>
      <c r="I1678" s="17">
        <f aca="true" t="shared" si="998" ref="I1678:I1680">ROUND(0,2)</f>
        <v>0</v>
      </c>
      <c r="J1678" s="17"/>
      <c r="K1678" s="17">
        <f aca="true" t="shared" si="999" ref="K1678:K1680">ROUND(0,2)</f>
        <v>0</v>
      </c>
      <c r="L1678" s="17"/>
      <c r="M1678" s="17">
        <f aca="true" t="shared" si="1000" ref="M1678:M1680">ROUND(0,2)</f>
        <v>0</v>
      </c>
      <c r="N1678" s="17">
        <f aca="true" t="shared" si="1001" ref="N1678:N1680">ROUND(0,2)</f>
        <v>0</v>
      </c>
      <c r="O1678" s="17">
        <f t="shared" si="996"/>
        <v>10257.21</v>
      </c>
      <c r="P1678" s="18">
        <v>54.78455327021726</v>
      </c>
      <c r="Q1678" s="18">
        <v>100</v>
      </c>
    </row>
    <row r="1679" spans="1:17" ht="12.75" customHeight="1">
      <c r="A1679" s="10"/>
      <c r="B1679" s="11" t="s">
        <v>1067</v>
      </c>
      <c r="C1679" s="11"/>
      <c r="D1679" s="11"/>
      <c r="E1679" s="12">
        <f>ROUND(30000,2)</f>
        <v>30000</v>
      </c>
      <c r="F1679" s="12">
        <f>ROUND(270,2)</f>
        <v>270</v>
      </c>
      <c r="G1679" s="12">
        <f>ROUND(30270,2)</f>
        <v>30270</v>
      </c>
      <c r="H1679" s="12">
        <f t="shared" si="997"/>
        <v>0</v>
      </c>
      <c r="I1679" s="13">
        <f t="shared" si="998"/>
        <v>0</v>
      </c>
      <c r="J1679" s="13"/>
      <c r="K1679" s="13">
        <f t="shared" si="999"/>
        <v>0</v>
      </c>
      <c r="L1679" s="13"/>
      <c r="M1679" s="12">
        <f t="shared" si="1000"/>
        <v>0</v>
      </c>
      <c r="N1679" s="12">
        <f t="shared" si="1001"/>
        <v>0</v>
      </c>
      <c r="O1679" s="12">
        <f aca="true" t="shared" si="1002" ref="O1679:O1680">ROUND(30270,2)</f>
        <v>30270</v>
      </c>
      <c r="P1679" s="14">
        <v>100</v>
      </c>
      <c r="Q1679" s="14">
        <v>0</v>
      </c>
    </row>
    <row r="1680" spans="1:17" ht="12.75" customHeight="1">
      <c r="A1680" s="15" t="s">
        <v>1068</v>
      </c>
      <c r="B1680" s="15"/>
      <c r="C1680" s="15"/>
      <c r="D1680" s="15"/>
      <c r="E1680" s="16" t="s">
        <v>1022</v>
      </c>
      <c r="F1680" s="17">
        <f>ROUND(0,2)</f>
        <v>0</v>
      </c>
      <c r="G1680" s="17">
        <f>ROUND(0,2)</f>
        <v>0</v>
      </c>
      <c r="H1680" s="17">
        <f t="shared" si="997"/>
        <v>0</v>
      </c>
      <c r="I1680" s="17">
        <f t="shared" si="998"/>
        <v>0</v>
      </c>
      <c r="J1680" s="17"/>
      <c r="K1680" s="17">
        <f t="shared" si="999"/>
        <v>0</v>
      </c>
      <c r="L1680" s="17"/>
      <c r="M1680" s="17">
        <f t="shared" si="1000"/>
        <v>0</v>
      </c>
      <c r="N1680" s="17">
        <f t="shared" si="1001"/>
        <v>0</v>
      </c>
      <c r="O1680" s="17">
        <f t="shared" si="1002"/>
        <v>30270</v>
      </c>
      <c r="P1680" s="18">
        <v>0</v>
      </c>
      <c r="Q1680" s="18">
        <v>0</v>
      </c>
    </row>
    <row r="1681" spans="1:17" ht="12.75" customHeight="1">
      <c r="A1681" s="10"/>
      <c r="B1681" s="11" t="s">
        <v>1069</v>
      </c>
      <c r="C1681" s="11"/>
      <c r="D1681" s="11"/>
      <c r="E1681" s="12">
        <f>ROUND(105852.32,2)</f>
        <v>105852.32</v>
      </c>
      <c r="F1681" s="12">
        <f>ROUND(952.67,2)</f>
        <v>952.67</v>
      </c>
      <c r="G1681" s="12">
        <f>ROUND(106804.99,2)</f>
        <v>106804.99</v>
      </c>
      <c r="H1681" s="12">
        <f>ROUND(53729,2)</f>
        <v>53729</v>
      </c>
      <c r="I1681" s="13">
        <f>ROUND(53729,2)</f>
        <v>53729</v>
      </c>
      <c r="J1681" s="13"/>
      <c r="K1681" s="13">
        <f>ROUND(53729,2)</f>
        <v>53729</v>
      </c>
      <c r="L1681" s="13"/>
      <c r="M1681" s="12">
        <f>ROUND(53729,2)</f>
        <v>53729</v>
      </c>
      <c r="N1681" s="12">
        <f>ROUND(53729,2)</f>
        <v>53729</v>
      </c>
      <c r="O1681" s="12">
        <f>ROUND(53075.99,2)</f>
        <v>53075.99</v>
      </c>
      <c r="P1681" s="14">
        <v>49.694297991133176</v>
      </c>
      <c r="Q1681" s="14">
        <v>50.30570200886682</v>
      </c>
    </row>
    <row r="1682" spans="1:17" ht="12.75" customHeight="1">
      <c r="A1682" s="15" t="s">
        <v>1070</v>
      </c>
      <c r="B1682" s="15"/>
      <c r="C1682" s="15"/>
      <c r="D1682" s="15"/>
      <c r="E1682" s="16" t="s">
        <v>1022</v>
      </c>
      <c r="F1682" s="17">
        <f>ROUND(0,2)</f>
        <v>0</v>
      </c>
      <c r="G1682" s="17">
        <f>ROUND(0,2)</f>
        <v>0</v>
      </c>
      <c r="H1682" s="17">
        <f>ROUND(0,2)</f>
        <v>0</v>
      </c>
      <c r="I1682" s="17">
        <f>ROUND(0,2)</f>
        <v>0</v>
      </c>
      <c r="J1682" s="17"/>
      <c r="K1682" s="17">
        <f>ROUND(0,2)</f>
        <v>0</v>
      </c>
      <c r="L1682" s="17"/>
      <c r="M1682" s="17">
        <f>ROUND(0,2)</f>
        <v>0</v>
      </c>
      <c r="N1682" s="17">
        <f>ROUND(0,2)</f>
        <v>0</v>
      </c>
      <c r="O1682" s="17">
        <f>ROUND(53075.99,2)</f>
        <v>53075.99</v>
      </c>
      <c r="P1682" s="18">
        <v>50.30570200886682</v>
      </c>
      <c r="Q1682" s="18">
        <v>100</v>
      </c>
    </row>
    <row r="1683" spans="1:17" ht="12.75" customHeight="1">
      <c r="A1683" s="10"/>
      <c r="B1683" s="11" t="s">
        <v>1071</v>
      </c>
      <c r="C1683" s="11"/>
      <c r="D1683" s="11"/>
      <c r="E1683" s="12">
        <f>ROUND(230458.76,2)</f>
        <v>230458.76</v>
      </c>
      <c r="F1683" s="12">
        <f>ROUND(2074.13,2)</f>
        <v>2074.13</v>
      </c>
      <c r="G1683" s="12">
        <f>ROUND(232532.89,2)</f>
        <v>232532.89</v>
      </c>
      <c r="H1683" s="12">
        <f>ROUND(115364.58,2)</f>
        <v>115364.58</v>
      </c>
      <c r="I1683" s="13">
        <f>ROUND(115364.58,2)</f>
        <v>115364.58</v>
      </c>
      <c r="J1683" s="13"/>
      <c r="K1683" s="13">
        <f>ROUND(115364.58,2)</f>
        <v>115364.58</v>
      </c>
      <c r="L1683" s="13"/>
      <c r="M1683" s="12">
        <f>ROUND(115364.58,2)</f>
        <v>115364.58</v>
      </c>
      <c r="N1683" s="12">
        <f>ROUND(115364.58,2)</f>
        <v>115364.58</v>
      </c>
      <c r="O1683" s="12">
        <f aca="true" t="shared" si="1003" ref="O1683:O1684">ROUND(117168.31,2)</f>
        <v>117168.31</v>
      </c>
      <c r="P1683" s="14">
        <v>50.38784405939306</v>
      </c>
      <c r="Q1683" s="14">
        <v>49.61215594060694</v>
      </c>
    </row>
    <row r="1684" spans="1:17" ht="12.75" customHeight="1">
      <c r="A1684" s="15" t="s">
        <v>1072</v>
      </c>
      <c r="B1684" s="15"/>
      <c r="C1684" s="15"/>
      <c r="D1684" s="15"/>
      <c r="E1684" s="16" t="s">
        <v>1022</v>
      </c>
      <c r="F1684" s="17">
        <f>ROUND(0,2)</f>
        <v>0</v>
      </c>
      <c r="G1684" s="17">
        <f>ROUND(0,2)</f>
        <v>0</v>
      </c>
      <c r="H1684" s="17">
        <f>ROUND(0,2)</f>
        <v>0</v>
      </c>
      <c r="I1684" s="17">
        <f>ROUND(0,2)</f>
        <v>0</v>
      </c>
      <c r="J1684" s="17"/>
      <c r="K1684" s="17">
        <f>ROUND(0,2)</f>
        <v>0</v>
      </c>
      <c r="L1684" s="17"/>
      <c r="M1684" s="17">
        <f>ROUND(0,2)</f>
        <v>0</v>
      </c>
      <c r="N1684" s="17">
        <f>ROUND(0,2)</f>
        <v>0</v>
      </c>
      <c r="O1684" s="17">
        <f t="shared" si="1003"/>
        <v>117168.31</v>
      </c>
      <c r="P1684" s="18">
        <v>49.61215594060694</v>
      </c>
      <c r="Q1684" s="18">
        <v>100</v>
      </c>
    </row>
    <row r="1685" spans="1:17" ht="12.75" customHeight="1">
      <c r="A1685" s="19" t="s">
        <v>57</v>
      </c>
      <c r="B1685" s="19"/>
      <c r="C1685" s="19"/>
      <c r="D1685" s="19"/>
      <c r="E1685" s="20">
        <f>SUM('DS1'!$A$422:$A$425)</f>
        <v>388793.92000000004</v>
      </c>
      <c r="F1685" s="20">
        <v>3499.15</v>
      </c>
      <c r="G1685" s="20">
        <v>392293.07</v>
      </c>
      <c r="H1685" s="20">
        <v>181521.56</v>
      </c>
      <c r="I1685" s="21">
        <v>181521.56</v>
      </c>
      <c r="J1685" s="21"/>
      <c r="K1685" s="21">
        <v>181521.56</v>
      </c>
      <c r="L1685" s="21"/>
      <c r="M1685" s="20">
        <v>181521.56</v>
      </c>
      <c r="N1685" s="20">
        <v>181521.56</v>
      </c>
      <c r="O1685" s="20">
        <v>210771.51</v>
      </c>
      <c r="P1685" s="22">
        <v>53.728073758733494</v>
      </c>
      <c r="Q1685" s="22">
        <v>46.271926241266506</v>
      </c>
    </row>
    <row r="1686" spans="1:17" ht="12.75" customHeight="1">
      <c r="A1686" s="23"/>
      <c r="B1686" s="24"/>
      <c r="C1686" s="24"/>
      <c r="D1686" s="24"/>
      <c r="E1686" s="23"/>
      <c r="F1686" s="20">
        <v>0</v>
      </c>
      <c r="G1686" s="20">
        <v>0</v>
      </c>
      <c r="H1686" s="20">
        <v>0</v>
      </c>
      <c r="I1686" s="21">
        <v>0</v>
      </c>
      <c r="J1686" s="21"/>
      <c r="K1686" s="21">
        <v>0</v>
      </c>
      <c r="L1686" s="21"/>
      <c r="M1686" s="20">
        <v>0</v>
      </c>
      <c r="N1686" s="20">
        <v>0</v>
      </c>
      <c r="O1686" s="20">
        <v>210771.51</v>
      </c>
      <c r="P1686" s="22">
        <v>46.271926241266506</v>
      </c>
      <c r="Q1686" s="22">
        <v>100</v>
      </c>
    </row>
    <row r="1687" spans="1:17" ht="20.25" customHeight="1">
      <c r="A1687" s="23"/>
      <c r="B1687" s="24"/>
      <c r="C1687" s="24"/>
      <c r="D1687" s="24"/>
      <c r="E1687" s="23"/>
      <c r="F1687" s="23"/>
      <c r="G1687" s="23"/>
      <c r="H1687" s="23"/>
      <c r="I1687" s="24"/>
      <c r="J1687" s="24"/>
      <c r="K1687" s="24"/>
      <c r="L1687" s="24"/>
      <c r="M1687" s="23"/>
      <c r="N1687" s="23"/>
      <c r="O1687" s="23"/>
      <c r="P1687" s="23"/>
      <c r="Q1687" s="23"/>
    </row>
    <row r="1688" spans="1:17" ht="12.75" customHeight="1">
      <c r="A1688" s="10"/>
      <c r="B1688" s="11" t="s">
        <v>1073</v>
      </c>
      <c r="C1688" s="11"/>
      <c r="D1688" s="11"/>
      <c r="E1688" s="12">
        <f>ROUND(25539.22,2)</f>
        <v>25539.22</v>
      </c>
      <c r="F1688" s="12">
        <f>ROUND(229.85,2)</f>
        <v>229.85</v>
      </c>
      <c r="G1688" s="12">
        <f>ROUND(25769.07,2)</f>
        <v>25769.07</v>
      </c>
      <c r="H1688" s="12">
        <f>ROUND(25119.64,2)</f>
        <v>25119.64</v>
      </c>
      <c r="I1688" s="13">
        <f>ROUND(25119.64,2)</f>
        <v>25119.64</v>
      </c>
      <c r="J1688" s="13"/>
      <c r="K1688" s="13">
        <f>ROUND(25119.64,2)</f>
        <v>25119.64</v>
      </c>
      <c r="L1688" s="13"/>
      <c r="M1688" s="12">
        <f>ROUND(25119.64,2)</f>
        <v>25119.64</v>
      </c>
      <c r="N1688" s="12">
        <f>ROUND(25119.64,2)</f>
        <v>25119.64</v>
      </c>
      <c r="O1688" s="12">
        <f>ROUND(649.43,2)</f>
        <v>649.43</v>
      </c>
      <c r="P1688" s="14">
        <v>2.520191842390897</v>
      </c>
      <c r="Q1688" s="14">
        <v>97.4798081576091</v>
      </c>
    </row>
    <row r="1689" spans="1:17" ht="12.75" customHeight="1">
      <c r="A1689" s="15" t="s">
        <v>1074</v>
      </c>
      <c r="B1689" s="15"/>
      <c r="C1689" s="15"/>
      <c r="D1689" s="15"/>
      <c r="E1689" s="16" t="s">
        <v>1022</v>
      </c>
      <c r="F1689" s="17">
        <f>ROUND(0,2)</f>
        <v>0</v>
      </c>
      <c r="G1689" s="17">
        <f>ROUND(0,2)</f>
        <v>0</v>
      </c>
      <c r="H1689" s="17">
        <f>ROUND(0,2)</f>
        <v>0</v>
      </c>
      <c r="I1689" s="17">
        <f>ROUND(0,2)</f>
        <v>0</v>
      </c>
      <c r="J1689" s="17"/>
      <c r="K1689" s="17">
        <f>ROUND(0,2)</f>
        <v>0</v>
      </c>
      <c r="L1689" s="17"/>
      <c r="M1689" s="17">
        <f>ROUND(0,2)</f>
        <v>0</v>
      </c>
      <c r="N1689" s="17">
        <f>ROUND(0,2)</f>
        <v>0</v>
      </c>
      <c r="O1689" s="17">
        <f>ROUND(649.43,2)</f>
        <v>649.43</v>
      </c>
      <c r="P1689" s="18">
        <v>97.4798081576091</v>
      </c>
      <c r="Q1689" s="18">
        <v>100</v>
      </c>
    </row>
    <row r="1690" spans="1:17" ht="12.75" customHeight="1">
      <c r="A1690" s="19" t="s">
        <v>161</v>
      </c>
      <c r="B1690" s="19"/>
      <c r="C1690" s="19"/>
      <c r="D1690" s="19"/>
      <c r="E1690" s="20">
        <f>SUM('DS1'!$A$426)</f>
        <v>25539.22</v>
      </c>
      <c r="F1690" s="20">
        <v>229.85</v>
      </c>
      <c r="G1690" s="20">
        <v>25769.07</v>
      </c>
      <c r="H1690" s="20">
        <v>25119.64</v>
      </c>
      <c r="I1690" s="21">
        <v>25119.64</v>
      </c>
      <c r="J1690" s="21"/>
      <c r="K1690" s="21">
        <v>25119.64</v>
      </c>
      <c r="L1690" s="21"/>
      <c r="M1690" s="20">
        <v>25119.64</v>
      </c>
      <c r="N1690" s="20">
        <v>25119.64</v>
      </c>
      <c r="O1690" s="20">
        <v>649.43</v>
      </c>
      <c r="P1690" s="22">
        <v>2.520191842390897</v>
      </c>
      <c r="Q1690" s="22">
        <v>97.4798081576091</v>
      </c>
    </row>
    <row r="1691" spans="1:17" ht="12.75" customHeight="1">
      <c r="A1691" s="23"/>
      <c r="B1691" s="24"/>
      <c r="C1691" s="24"/>
      <c r="D1691" s="24"/>
      <c r="E1691" s="23"/>
      <c r="F1691" s="20">
        <v>0</v>
      </c>
      <c r="G1691" s="20">
        <v>0</v>
      </c>
      <c r="H1691" s="20">
        <v>0</v>
      </c>
      <c r="I1691" s="21">
        <v>0</v>
      </c>
      <c r="J1691" s="21"/>
      <c r="K1691" s="21">
        <v>0</v>
      </c>
      <c r="L1691" s="21"/>
      <c r="M1691" s="20">
        <v>0</v>
      </c>
      <c r="N1691" s="20">
        <v>0</v>
      </c>
      <c r="O1691" s="20">
        <v>649.4300000000003</v>
      </c>
      <c r="P1691" s="22">
        <v>97.4798081576091</v>
      </c>
      <c r="Q1691" s="22">
        <v>100</v>
      </c>
    </row>
    <row r="1692" spans="1:17" ht="20.25" customHeight="1">
      <c r="A1692" s="23"/>
      <c r="B1692" s="24"/>
      <c r="C1692" s="24"/>
      <c r="D1692" s="24"/>
      <c r="E1692" s="23"/>
      <c r="F1692" s="23"/>
      <c r="G1692" s="23"/>
      <c r="H1692" s="23"/>
      <c r="I1692" s="24"/>
      <c r="J1692" s="24"/>
      <c r="K1692" s="24"/>
      <c r="L1692" s="24"/>
      <c r="M1692" s="23"/>
      <c r="N1692" s="23"/>
      <c r="O1692" s="23"/>
      <c r="P1692" s="23"/>
      <c r="Q1692" s="23"/>
    </row>
    <row r="1693" spans="1:17" ht="12.75" customHeight="1">
      <c r="A1693" s="10"/>
      <c r="B1693" s="11" t="s">
        <v>1075</v>
      </c>
      <c r="C1693" s="11"/>
      <c r="D1693" s="11"/>
      <c r="E1693" s="12">
        <f>ROUND(573343.96,2)</f>
        <v>573343.96</v>
      </c>
      <c r="F1693" s="12">
        <f>ROUND(5160.1,2)</f>
        <v>5160.1</v>
      </c>
      <c r="G1693" s="12">
        <f>ROUND(578504.06,2)</f>
        <v>578504.06</v>
      </c>
      <c r="H1693" s="12">
        <f>ROUND(575293.37,2)</f>
        <v>575293.37</v>
      </c>
      <c r="I1693" s="13">
        <f>ROUND(575293.37,2)</f>
        <v>575293.37</v>
      </c>
      <c r="J1693" s="13"/>
      <c r="K1693" s="13">
        <f>ROUND(575293.37,2)</f>
        <v>575293.37</v>
      </c>
      <c r="L1693" s="13"/>
      <c r="M1693" s="12">
        <f>ROUND(575293.37,2)</f>
        <v>575293.37</v>
      </c>
      <c r="N1693" s="12">
        <f>ROUND(575293.37,2)</f>
        <v>575293.37</v>
      </c>
      <c r="O1693" s="12">
        <f>ROUND(3210.69,2)</f>
        <v>3210.69</v>
      </c>
      <c r="P1693" s="14">
        <v>0.5549986978483782</v>
      </c>
      <c r="Q1693" s="14">
        <v>99.44500130215164</v>
      </c>
    </row>
    <row r="1694" spans="1:17" ht="12.75" customHeight="1">
      <c r="A1694" s="15" t="s">
        <v>1076</v>
      </c>
      <c r="B1694" s="15"/>
      <c r="C1694" s="15"/>
      <c r="D1694" s="15"/>
      <c r="E1694" s="16" t="s">
        <v>1022</v>
      </c>
      <c r="F1694" s="17">
        <f>ROUND(0,2)</f>
        <v>0</v>
      </c>
      <c r="G1694" s="17">
        <f>ROUND(0,2)</f>
        <v>0</v>
      </c>
      <c r="H1694" s="17">
        <f>ROUND(0,2)</f>
        <v>0</v>
      </c>
      <c r="I1694" s="17">
        <f>ROUND(0,2)</f>
        <v>0</v>
      </c>
      <c r="J1694" s="17"/>
      <c r="K1694" s="17">
        <f>ROUND(0,2)</f>
        <v>0</v>
      </c>
      <c r="L1694" s="17"/>
      <c r="M1694" s="17">
        <f>ROUND(0,2)</f>
        <v>0</v>
      </c>
      <c r="N1694" s="17">
        <f>ROUND(0,2)</f>
        <v>0</v>
      </c>
      <c r="O1694" s="17">
        <f>ROUND(3210.68999999994,2)</f>
        <v>3210.69</v>
      </c>
      <c r="P1694" s="18">
        <v>99.44500130215164</v>
      </c>
      <c r="Q1694" s="18">
        <v>100</v>
      </c>
    </row>
    <row r="1695" spans="1:17" ht="12.75" customHeight="1">
      <c r="A1695" s="19" t="s">
        <v>60</v>
      </c>
      <c r="B1695" s="19"/>
      <c r="C1695" s="19"/>
      <c r="D1695" s="19"/>
      <c r="E1695" s="20">
        <f>SUM('DS1'!$A$427)</f>
        <v>573343.96</v>
      </c>
      <c r="F1695" s="20">
        <v>5160.1</v>
      </c>
      <c r="G1695" s="20">
        <v>578504.0599999999</v>
      </c>
      <c r="H1695" s="20">
        <v>575293.37</v>
      </c>
      <c r="I1695" s="21">
        <v>575293.37</v>
      </c>
      <c r="J1695" s="21"/>
      <c r="K1695" s="21">
        <v>575293.37</v>
      </c>
      <c r="L1695" s="21"/>
      <c r="M1695" s="20">
        <v>575293.37</v>
      </c>
      <c r="N1695" s="20">
        <v>575293.37</v>
      </c>
      <c r="O1695" s="20">
        <v>3210.69</v>
      </c>
      <c r="P1695" s="22">
        <v>0.5549986978483782</v>
      </c>
      <c r="Q1695" s="22">
        <v>99.44500130215164</v>
      </c>
    </row>
    <row r="1696" spans="1:17" ht="12.75" customHeight="1">
      <c r="A1696" s="23"/>
      <c r="B1696" s="24"/>
      <c r="C1696" s="24"/>
      <c r="D1696" s="24"/>
      <c r="E1696" s="23"/>
      <c r="F1696" s="20">
        <v>0</v>
      </c>
      <c r="G1696" s="20">
        <v>0</v>
      </c>
      <c r="H1696" s="20">
        <v>0</v>
      </c>
      <c r="I1696" s="21">
        <v>0</v>
      </c>
      <c r="J1696" s="21"/>
      <c r="K1696" s="21">
        <v>0</v>
      </c>
      <c r="L1696" s="21"/>
      <c r="M1696" s="20">
        <v>0</v>
      </c>
      <c r="N1696" s="20">
        <v>0</v>
      </c>
      <c r="O1696" s="20">
        <v>3210.689999999944</v>
      </c>
      <c r="P1696" s="22">
        <v>99.44500130215164</v>
      </c>
      <c r="Q1696" s="22">
        <v>100</v>
      </c>
    </row>
    <row r="1697" spans="1:17" ht="20.25" customHeight="1">
      <c r="A1697" s="23"/>
      <c r="B1697" s="24"/>
      <c r="C1697" s="24"/>
      <c r="D1697" s="24"/>
      <c r="E1697" s="23"/>
      <c r="F1697" s="23"/>
      <c r="G1697" s="23"/>
      <c r="H1697" s="23"/>
      <c r="I1697" s="24"/>
      <c r="J1697" s="24"/>
      <c r="K1697" s="24"/>
      <c r="L1697" s="24"/>
      <c r="M1697" s="23"/>
      <c r="N1697" s="23"/>
      <c r="O1697" s="23"/>
      <c r="P1697" s="23"/>
      <c r="Q1697" s="23"/>
    </row>
    <row r="1698" spans="1:17" ht="12.75" customHeight="1">
      <c r="A1698" s="10"/>
      <c r="B1698" s="11" t="s">
        <v>1077</v>
      </c>
      <c r="C1698" s="11"/>
      <c r="D1698" s="11"/>
      <c r="E1698" s="12">
        <f>ROUND(86000,2)</f>
        <v>86000</v>
      </c>
      <c r="F1698" s="12">
        <f>ROUND(43000,2)</f>
        <v>43000</v>
      </c>
      <c r="G1698" s="12">
        <f>ROUND(129000,2)</f>
        <v>129000</v>
      </c>
      <c r="H1698" s="12">
        <f>ROUND(128734,2)</f>
        <v>128734</v>
      </c>
      <c r="I1698" s="13">
        <f>ROUND(128734,2)</f>
        <v>128734</v>
      </c>
      <c r="J1698" s="13"/>
      <c r="K1698" s="13">
        <f>ROUND(128734,2)</f>
        <v>128734</v>
      </c>
      <c r="L1698" s="13"/>
      <c r="M1698" s="12">
        <f>ROUND(128734,2)</f>
        <v>128734</v>
      </c>
      <c r="N1698" s="12">
        <f>ROUND(128734,2)</f>
        <v>128734</v>
      </c>
      <c r="O1698" s="12">
        <f aca="true" t="shared" si="1004" ref="O1698:O1699">ROUND(266,2)</f>
        <v>266</v>
      </c>
      <c r="P1698" s="14">
        <v>0.2062015503875969</v>
      </c>
      <c r="Q1698" s="14">
        <v>99.79379844961241</v>
      </c>
    </row>
    <row r="1699" spans="1:17" ht="12.75" customHeight="1">
      <c r="A1699" s="15" t="s">
        <v>1078</v>
      </c>
      <c r="B1699" s="15"/>
      <c r="C1699" s="15"/>
      <c r="D1699" s="15"/>
      <c r="E1699" s="16" t="s">
        <v>1022</v>
      </c>
      <c r="F1699" s="17">
        <f>ROUND(0,2)</f>
        <v>0</v>
      </c>
      <c r="G1699" s="17">
        <f>ROUND(0,2)</f>
        <v>0</v>
      </c>
      <c r="H1699" s="17">
        <f>ROUND(0,2)</f>
        <v>0</v>
      </c>
      <c r="I1699" s="17">
        <f>ROUND(0,2)</f>
        <v>0</v>
      </c>
      <c r="J1699" s="17"/>
      <c r="K1699" s="17">
        <f>ROUND(0,2)</f>
        <v>0</v>
      </c>
      <c r="L1699" s="17"/>
      <c r="M1699" s="17">
        <f>ROUND(0,2)</f>
        <v>0</v>
      </c>
      <c r="N1699" s="17">
        <f>ROUND(0,2)</f>
        <v>0</v>
      </c>
      <c r="O1699" s="17">
        <f t="shared" si="1004"/>
        <v>266</v>
      </c>
      <c r="P1699" s="18">
        <v>99.79379844961241</v>
      </c>
      <c r="Q1699" s="18">
        <v>100</v>
      </c>
    </row>
    <row r="1700" spans="1:17" ht="12.75" customHeight="1">
      <c r="A1700" s="10"/>
      <c r="B1700" s="11" t="s">
        <v>1079</v>
      </c>
      <c r="C1700" s="11"/>
      <c r="D1700" s="11"/>
      <c r="E1700" s="12">
        <f>ROUND(120000,2)</f>
        <v>120000</v>
      </c>
      <c r="F1700" s="12">
        <f>ROUND(100000,2)</f>
        <v>100000</v>
      </c>
      <c r="G1700" s="12">
        <f>ROUND(220000,2)</f>
        <v>220000</v>
      </c>
      <c r="H1700" s="12">
        <f>ROUND(220000.11,2)</f>
        <v>220000.11</v>
      </c>
      <c r="I1700" s="13">
        <f>ROUND(220000.11,2)</f>
        <v>220000.11</v>
      </c>
      <c r="J1700" s="13"/>
      <c r="K1700" s="13">
        <f>ROUND(220000.11,2)</f>
        <v>220000.11</v>
      </c>
      <c r="L1700" s="13"/>
      <c r="M1700" s="12">
        <f>ROUND(220000.11,2)</f>
        <v>220000.11</v>
      </c>
      <c r="N1700" s="12">
        <f>ROUND(220000.11,2)</f>
        <v>220000.11</v>
      </c>
      <c r="O1700" s="12">
        <f>ROUND(-0.11,2)</f>
        <v>-0.11</v>
      </c>
      <c r="P1700" s="14">
        <v>-4.9999999999999996E-05</v>
      </c>
      <c r="Q1700" s="14">
        <v>100.00004999999999</v>
      </c>
    </row>
    <row r="1701" spans="1:17" ht="12.75" customHeight="1">
      <c r="A1701" s="15" t="s">
        <v>1078</v>
      </c>
      <c r="B1701" s="15"/>
      <c r="C1701" s="15"/>
      <c r="D1701" s="15"/>
      <c r="E1701" s="16" t="s">
        <v>1022</v>
      </c>
      <c r="F1701" s="17">
        <f>ROUND(0,2)</f>
        <v>0</v>
      </c>
      <c r="G1701" s="17">
        <f>ROUND(0,2)</f>
        <v>0</v>
      </c>
      <c r="H1701" s="17">
        <f>ROUND(0,2)</f>
        <v>0</v>
      </c>
      <c r="I1701" s="17">
        <f>ROUND(0,2)</f>
        <v>0</v>
      </c>
      <c r="J1701" s="17"/>
      <c r="K1701" s="17">
        <f>ROUND(0,2)</f>
        <v>0</v>
      </c>
      <c r="L1701" s="17"/>
      <c r="M1701" s="17">
        <f>ROUND(0,2)</f>
        <v>0</v>
      </c>
      <c r="N1701" s="17">
        <f>ROUND(0,2)</f>
        <v>0</v>
      </c>
      <c r="O1701" s="17">
        <f>ROUND(-0.10999999998603,2)</f>
        <v>-0.11</v>
      </c>
      <c r="P1701" s="18">
        <v>100.00004999999999</v>
      </c>
      <c r="Q1701" s="18">
        <v>100</v>
      </c>
    </row>
    <row r="1702" spans="1:17" ht="12.75" customHeight="1">
      <c r="A1702" s="19" t="s">
        <v>1080</v>
      </c>
      <c r="B1702" s="19"/>
      <c r="C1702" s="19"/>
      <c r="D1702" s="19"/>
      <c r="E1702" s="20">
        <f>SUM('DS1'!$A$428:$A$429)</f>
        <v>206000</v>
      </c>
      <c r="F1702" s="20">
        <v>143000</v>
      </c>
      <c r="G1702" s="20">
        <v>349000</v>
      </c>
      <c r="H1702" s="20">
        <v>348734.11</v>
      </c>
      <c r="I1702" s="21">
        <v>348734.11</v>
      </c>
      <c r="J1702" s="21"/>
      <c r="K1702" s="21">
        <v>348734.11</v>
      </c>
      <c r="L1702" s="21"/>
      <c r="M1702" s="20">
        <v>348734.11</v>
      </c>
      <c r="N1702" s="20">
        <v>348734.11</v>
      </c>
      <c r="O1702" s="20">
        <v>265.89</v>
      </c>
      <c r="P1702" s="22">
        <v>0.0761862464183381</v>
      </c>
      <c r="Q1702" s="22">
        <v>99.92381375358165</v>
      </c>
    </row>
    <row r="1703" spans="1:17" ht="12.75" customHeight="1">
      <c r="A1703" s="23"/>
      <c r="B1703" s="24"/>
      <c r="C1703" s="24"/>
      <c r="D1703" s="24"/>
      <c r="E1703" s="23"/>
      <c r="F1703" s="20">
        <v>0</v>
      </c>
      <c r="G1703" s="20">
        <v>0</v>
      </c>
      <c r="H1703" s="20">
        <v>0</v>
      </c>
      <c r="I1703" s="21">
        <v>0</v>
      </c>
      <c r="J1703" s="21"/>
      <c r="K1703" s="21">
        <v>0</v>
      </c>
      <c r="L1703" s="21"/>
      <c r="M1703" s="20">
        <v>0</v>
      </c>
      <c r="N1703" s="20">
        <v>0</v>
      </c>
      <c r="O1703" s="20">
        <v>265.89000000001397</v>
      </c>
      <c r="P1703" s="22">
        <v>99.92381375358165</v>
      </c>
      <c r="Q1703" s="22">
        <v>100</v>
      </c>
    </row>
    <row r="1704" spans="1:17" ht="20.25" customHeight="1">
      <c r="A1704" s="23"/>
      <c r="B1704" s="24"/>
      <c r="C1704" s="24"/>
      <c r="D1704" s="24"/>
      <c r="E1704" s="23"/>
      <c r="F1704" s="23"/>
      <c r="G1704" s="23"/>
      <c r="H1704" s="23"/>
      <c r="I1704" s="24"/>
      <c r="J1704" s="24"/>
      <c r="K1704" s="24"/>
      <c r="L1704" s="24"/>
      <c r="M1704" s="23"/>
      <c r="N1704" s="23"/>
      <c r="O1704" s="23"/>
      <c r="P1704" s="23"/>
      <c r="Q1704" s="23"/>
    </row>
    <row r="1705" spans="1:17" ht="12.75" customHeight="1">
      <c r="A1705" s="10"/>
      <c r="B1705" s="11" t="s">
        <v>1081</v>
      </c>
      <c r="C1705" s="11"/>
      <c r="D1705" s="11"/>
      <c r="E1705" s="12">
        <f>ROUND(50000,2)</f>
        <v>50000</v>
      </c>
      <c r="F1705" s="12">
        <f aca="true" t="shared" si="1005" ref="F1705:F1708">ROUND(0,2)</f>
        <v>0</v>
      </c>
      <c r="G1705" s="12">
        <f>ROUND(50000,2)</f>
        <v>50000</v>
      </c>
      <c r="H1705" s="12">
        <f aca="true" t="shared" si="1006" ref="H1705:H1708">ROUND(0,2)</f>
        <v>0</v>
      </c>
      <c r="I1705" s="13">
        <f aca="true" t="shared" si="1007" ref="I1705:I1708">ROUND(0,2)</f>
        <v>0</v>
      </c>
      <c r="J1705" s="13"/>
      <c r="K1705" s="13">
        <f aca="true" t="shared" si="1008" ref="K1705:K1708">ROUND(0,2)</f>
        <v>0</v>
      </c>
      <c r="L1705" s="13"/>
      <c r="M1705" s="12">
        <f aca="true" t="shared" si="1009" ref="M1705:M1708">ROUND(0,2)</f>
        <v>0</v>
      </c>
      <c r="N1705" s="12">
        <f aca="true" t="shared" si="1010" ref="N1705:N1708">ROUND(0,2)</f>
        <v>0</v>
      </c>
      <c r="O1705" s="12">
        <f aca="true" t="shared" si="1011" ref="O1705:O1708">ROUND(50000,2)</f>
        <v>50000</v>
      </c>
      <c r="P1705" s="14">
        <v>100</v>
      </c>
      <c r="Q1705" s="14">
        <v>0</v>
      </c>
    </row>
    <row r="1706" spans="1:17" ht="12.75" customHeight="1">
      <c r="A1706" s="15" t="s">
        <v>1082</v>
      </c>
      <c r="B1706" s="15"/>
      <c r="C1706" s="15"/>
      <c r="D1706" s="15"/>
      <c r="E1706" s="16" t="s">
        <v>1022</v>
      </c>
      <c r="F1706" s="17">
        <f t="shared" si="1005"/>
        <v>0</v>
      </c>
      <c r="G1706" s="17">
        <f>ROUND(0,2)</f>
        <v>0</v>
      </c>
      <c r="H1706" s="17">
        <f t="shared" si="1006"/>
        <v>0</v>
      </c>
      <c r="I1706" s="17">
        <f t="shared" si="1007"/>
        <v>0</v>
      </c>
      <c r="J1706" s="17"/>
      <c r="K1706" s="17">
        <f t="shared" si="1008"/>
        <v>0</v>
      </c>
      <c r="L1706" s="17"/>
      <c r="M1706" s="17">
        <f t="shared" si="1009"/>
        <v>0</v>
      </c>
      <c r="N1706" s="17">
        <f t="shared" si="1010"/>
        <v>0</v>
      </c>
      <c r="O1706" s="17">
        <f t="shared" si="1011"/>
        <v>50000</v>
      </c>
      <c r="P1706" s="18">
        <v>0</v>
      </c>
      <c r="Q1706" s="18">
        <v>0</v>
      </c>
    </row>
    <row r="1707" spans="1:17" ht="12.75" customHeight="1">
      <c r="A1707" s="10"/>
      <c r="B1707" s="11" t="s">
        <v>1083</v>
      </c>
      <c r="C1707" s="11"/>
      <c r="D1707" s="11"/>
      <c r="E1707" s="12">
        <f>ROUND(50000,2)</f>
        <v>50000</v>
      </c>
      <c r="F1707" s="12">
        <f t="shared" si="1005"/>
        <v>0</v>
      </c>
      <c r="G1707" s="12">
        <f>ROUND(50000,2)</f>
        <v>50000</v>
      </c>
      <c r="H1707" s="12">
        <f t="shared" si="1006"/>
        <v>0</v>
      </c>
      <c r="I1707" s="13">
        <f t="shared" si="1007"/>
        <v>0</v>
      </c>
      <c r="J1707" s="13"/>
      <c r="K1707" s="13">
        <f t="shared" si="1008"/>
        <v>0</v>
      </c>
      <c r="L1707" s="13"/>
      <c r="M1707" s="12">
        <f t="shared" si="1009"/>
        <v>0</v>
      </c>
      <c r="N1707" s="12">
        <f t="shared" si="1010"/>
        <v>0</v>
      </c>
      <c r="O1707" s="12">
        <f t="shared" si="1011"/>
        <v>50000</v>
      </c>
      <c r="P1707" s="14">
        <v>100</v>
      </c>
      <c r="Q1707" s="14">
        <v>0</v>
      </c>
    </row>
    <row r="1708" spans="1:17" ht="12.75" customHeight="1">
      <c r="A1708" s="15" t="s">
        <v>1084</v>
      </c>
      <c r="B1708" s="15"/>
      <c r="C1708" s="15"/>
      <c r="D1708" s="15"/>
      <c r="E1708" s="16" t="s">
        <v>1022</v>
      </c>
      <c r="F1708" s="17">
        <f t="shared" si="1005"/>
        <v>0</v>
      </c>
      <c r="G1708" s="17">
        <f>ROUND(0,2)</f>
        <v>0</v>
      </c>
      <c r="H1708" s="17">
        <f t="shared" si="1006"/>
        <v>0</v>
      </c>
      <c r="I1708" s="17">
        <f t="shared" si="1007"/>
        <v>0</v>
      </c>
      <c r="J1708" s="17"/>
      <c r="K1708" s="17">
        <f t="shared" si="1008"/>
        <v>0</v>
      </c>
      <c r="L1708" s="17"/>
      <c r="M1708" s="17">
        <f t="shared" si="1009"/>
        <v>0</v>
      </c>
      <c r="N1708" s="17">
        <f t="shared" si="1010"/>
        <v>0</v>
      </c>
      <c r="O1708" s="17">
        <f t="shared" si="1011"/>
        <v>50000</v>
      </c>
      <c r="P1708" s="18">
        <v>0</v>
      </c>
      <c r="Q1708" s="18">
        <v>0</v>
      </c>
    </row>
    <row r="1709" spans="1:17" ht="12.75" customHeight="1">
      <c r="A1709" s="19" t="s">
        <v>63</v>
      </c>
      <c r="B1709" s="19"/>
      <c r="C1709" s="19"/>
      <c r="D1709" s="19"/>
      <c r="E1709" s="20">
        <f>SUM('DS1'!$A$430:$A$431)</f>
        <v>100000</v>
      </c>
      <c r="F1709" s="20">
        <v>0</v>
      </c>
      <c r="G1709" s="20">
        <v>100000</v>
      </c>
      <c r="H1709" s="20">
        <v>0</v>
      </c>
      <c r="I1709" s="21">
        <v>0</v>
      </c>
      <c r="J1709" s="21"/>
      <c r="K1709" s="21">
        <v>0</v>
      </c>
      <c r="L1709" s="21"/>
      <c r="M1709" s="20">
        <v>0</v>
      </c>
      <c r="N1709" s="20">
        <v>0</v>
      </c>
      <c r="O1709" s="20">
        <v>100000</v>
      </c>
      <c r="P1709" s="22">
        <v>100</v>
      </c>
      <c r="Q1709" s="22">
        <v>0</v>
      </c>
    </row>
    <row r="1710" spans="1:17" ht="12.75" customHeight="1">
      <c r="A1710" s="23"/>
      <c r="B1710" s="24"/>
      <c r="C1710" s="24"/>
      <c r="D1710" s="24"/>
      <c r="E1710" s="23"/>
      <c r="F1710" s="20">
        <v>0</v>
      </c>
      <c r="G1710" s="20">
        <v>0</v>
      </c>
      <c r="H1710" s="20">
        <v>0</v>
      </c>
      <c r="I1710" s="21">
        <v>0</v>
      </c>
      <c r="J1710" s="21"/>
      <c r="K1710" s="21">
        <v>0</v>
      </c>
      <c r="L1710" s="21"/>
      <c r="M1710" s="20">
        <v>0</v>
      </c>
      <c r="N1710" s="20">
        <v>0</v>
      </c>
      <c r="O1710" s="20">
        <v>100000</v>
      </c>
      <c r="P1710" s="22">
        <v>0</v>
      </c>
      <c r="Q1710" s="22">
        <v>0</v>
      </c>
    </row>
    <row r="1711" spans="1:17" ht="20.25" customHeight="1">
      <c r="A1711" s="23"/>
      <c r="B1711" s="24"/>
      <c r="C1711" s="24"/>
      <c r="D1711" s="24"/>
      <c r="E1711" s="23"/>
      <c r="F1711" s="23"/>
      <c r="G1711" s="23"/>
      <c r="H1711" s="23"/>
      <c r="I1711" s="24"/>
      <c r="J1711" s="24"/>
      <c r="K1711" s="24"/>
      <c r="L1711" s="24"/>
      <c r="M1711" s="23"/>
      <c r="N1711" s="23"/>
      <c r="O1711" s="23"/>
      <c r="P1711" s="23"/>
      <c r="Q1711" s="23"/>
    </row>
    <row r="1712" spans="1:17" ht="12.75" customHeight="1">
      <c r="A1712" s="10"/>
      <c r="B1712" s="11" t="s">
        <v>1085</v>
      </c>
      <c r="C1712" s="11"/>
      <c r="D1712" s="11"/>
      <c r="E1712" s="12">
        <f>ROUND(178864.05,2)</f>
        <v>178864.05</v>
      </c>
      <c r="F1712" s="12">
        <f>ROUND(1609.78,2)</f>
        <v>1609.78</v>
      </c>
      <c r="G1712" s="12">
        <f>ROUND(180473.83,2)</f>
        <v>180473.83</v>
      </c>
      <c r="H1712" s="12">
        <f>ROUND(73397.88,2)</f>
        <v>73397.88</v>
      </c>
      <c r="I1712" s="13">
        <f>ROUND(73397.88,2)</f>
        <v>73397.88</v>
      </c>
      <c r="J1712" s="13"/>
      <c r="K1712" s="13">
        <f>ROUND(73397.88,2)</f>
        <v>73397.88</v>
      </c>
      <c r="L1712" s="13"/>
      <c r="M1712" s="12">
        <f>ROUND(73397.88,2)</f>
        <v>73397.88</v>
      </c>
      <c r="N1712" s="12">
        <f>ROUND(73397.88,2)</f>
        <v>73397.88</v>
      </c>
      <c r="O1712" s="12">
        <f>ROUND(107075.95,2)</f>
        <v>107075.95</v>
      </c>
      <c r="P1712" s="14">
        <v>59.33045805034448</v>
      </c>
      <c r="Q1712" s="14">
        <v>40.66954194965553</v>
      </c>
    </row>
    <row r="1713" spans="1:17" ht="12.75" customHeight="1">
      <c r="A1713" s="15" t="s">
        <v>1086</v>
      </c>
      <c r="B1713" s="15"/>
      <c r="C1713" s="15"/>
      <c r="D1713" s="15"/>
      <c r="E1713" s="16" t="s">
        <v>1022</v>
      </c>
      <c r="F1713" s="17">
        <f>ROUND(0,2)</f>
        <v>0</v>
      </c>
      <c r="G1713" s="17">
        <f>ROUND(0,2)</f>
        <v>0</v>
      </c>
      <c r="H1713" s="17">
        <f>ROUND(0,2)</f>
        <v>0</v>
      </c>
      <c r="I1713" s="17">
        <f>ROUND(0,2)</f>
        <v>0</v>
      </c>
      <c r="J1713" s="17"/>
      <c r="K1713" s="17">
        <f>ROUND(0,2)</f>
        <v>0</v>
      </c>
      <c r="L1713" s="17"/>
      <c r="M1713" s="17">
        <f>ROUND(0,2)</f>
        <v>0</v>
      </c>
      <c r="N1713" s="17">
        <f>ROUND(0,2)</f>
        <v>0</v>
      </c>
      <c r="O1713" s="17">
        <f>ROUND(107075.95,2)</f>
        <v>107075.95</v>
      </c>
      <c r="P1713" s="18">
        <v>40.66954194965553</v>
      </c>
      <c r="Q1713" s="18">
        <v>100</v>
      </c>
    </row>
    <row r="1714" spans="1:17" ht="12.75" customHeight="1">
      <c r="A1714" s="10"/>
      <c r="B1714" s="11" t="s">
        <v>1087</v>
      </c>
      <c r="C1714" s="11"/>
      <c r="D1714" s="11"/>
      <c r="E1714" s="12">
        <f>ROUND(190531.08,2)</f>
        <v>190531.08</v>
      </c>
      <c r="F1714" s="12">
        <f>ROUND(1714.78,2)</f>
        <v>1714.78</v>
      </c>
      <c r="G1714" s="12">
        <f>ROUND(192245.86,2)</f>
        <v>192245.86</v>
      </c>
      <c r="H1714" s="12">
        <f>ROUND(190565.34,2)</f>
        <v>190565.34</v>
      </c>
      <c r="I1714" s="13">
        <f>ROUND(190565.34,2)</f>
        <v>190565.34</v>
      </c>
      <c r="J1714" s="13"/>
      <c r="K1714" s="13">
        <f>ROUND(190565.34,2)</f>
        <v>190565.34</v>
      </c>
      <c r="L1714" s="13"/>
      <c r="M1714" s="12">
        <f>ROUND(190565.34,2)</f>
        <v>190565.34</v>
      </c>
      <c r="N1714" s="12">
        <f>ROUND(190565.34,2)</f>
        <v>190565.34</v>
      </c>
      <c r="O1714" s="12">
        <f>ROUND(1680.52,2)</f>
        <v>1680.52</v>
      </c>
      <c r="P1714" s="14">
        <v>0.8741514641719723</v>
      </c>
      <c r="Q1714" s="14">
        <v>99.12584853582803</v>
      </c>
    </row>
    <row r="1715" spans="1:17" ht="12.75" customHeight="1">
      <c r="A1715" s="15" t="s">
        <v>1088</v>
      </c>
      <c r="B1715" s="15"/>
      <c r="C1715" s="15"/>
      <c r="D1715" s="15"/>
      <c r="E1715" s="16" t="s">
        <v>1022</v>
      </c>
      <c r="F1715" s="17">
        <f>ROUND(0,2)</f>
        <v>0</v>
      </c>
      <c r="G1715" s="17">
        <f>ROUND(0,2)</f>
        <v>0</v>
      </c>
      <c r="H1715" s="17">
        <f>ROUND(0,2)</f>
        <v>0</v>
      </c>
      <c r="I1715" s="17">
        <f>ROUND(0,2)</f>
        <v>0</v>
      </c>
      <c r="J1715" s="17"/>
      <c r="K1715" s="17">
        <f>ROUND(0,2)</f>
        <v>0</v>
      </c>
      <c r="L1715" s="17"/>
      <c r="M1715" s="17">
        <f>ROUND(0,2)</f>
        <v>0</v>
      </c>
      <c r="N1715" s="17">
        <f>ROUND(0,2)</f>
        <v>0</v>
      </c>
      <c r="O1715" s="17">
        <f>ROUND(1680.51999999999,2)</f>
        <v>1680.52</v>
      </c>
      <c r="P1715" s="18">
        <v>99.12584853582803</v>
      </c>
      <c r="Q1715" s="18">
        <v>100</v>
      </c>
    </row>
    <row r="1716" spans="1:17" ht="12.75" customHeight="1">
      <c r="A1716" s="10"/>
      <c r="B1716" s="11" t="s">
        <v>1089</v>
      </c>
      <c r="C1716" s="11"/>
      <c r="D1716" s="11"/>
      <c r="E1716" s="12">
        <f>ROUND(8427.94,2)</f>
        <v>8427.94</v>
      </c>
      <c r="F1716" s="12">
        <f>ROUND(75.85,2)</f>
        <v>75.85</v>
      </c>
      <c r="G1716" s="12">
        <f>ROUND(8503.79,2)</f>
        <v>8503.79</v>
      </c>
      <c r="H1716" s="12">
        <f>ROUND(7711.88,2)</f>
        <v>7711.88</v>
      </c>
      <c r="I1716" s="13">
        <f>ROUND(7711.88,2)</f>
        <v>7711.88</v>
      </c>
      <c r="J1716" s="13"/>
      <c r="K1716" s="13">
        <f>ROUND(7711.88,2)</f>
        <v>7711.88</v>
      </c>
      <c r="L1716" s="13"/>
      <c r="M1716" s="12">
        <f>ROUND(7711.88,2)</f>
        <v>7711.88</v>
      </c>
      <c r="N1716" s="12">
        <f>ROUND(7711.88,2)</f>
        <v>7711.88</v>
      </c>
      <c r="O1716" s="12">
        <f>ROUND(791.91,2)</f>
        <v>791.91</v>
      </c>
      <c r="P1716" s="14">
        <v>9.312435984425766</v>
      </c>
      <c r="Q1716" s="14">
        <v>90.68756401557422</v>
      </c>
    </row>
    <row r="1717" spans="1:17" ht="12.75" customHeight="1">
      <c r="A1717" s="15" t="s">
        <v>1090</v>
      </c>
      <c r="B1717" s="15"/>
      <c r="C1717" s="15"/>
      <c r="D1717" s="15"/>
      <c r="E1717" s="16" t="s">
        <v>1022</v>
      </c>
      <c r="F1717" s="17">
        <f>ROUND(0,2)</f>
        <v>0</v>
      </c>
      <c r="G1717" s="17">
        <f>ROUND(0,2)</f>
        <v>0</v>
      </c>
      <c r="H1717" s="17">
        <f>ROUND(0,2)</f>
        <v>0</v>
      </c>
      <c r="I1717" s="17">
        <f>ROUND(0,2)</f>
        <v>0</v>
      </c>
      <c r="J1717" s="17"/>
      <c r="K1717" s="17">
        <f>ROUND(0,2)</f>
        <v>0</v>
      </c>
      <c r="L1717" s="17"/>
      <c r="M1717" s="17">
        <f>ROUND(0,2)</f>
        <v>0</v>
      </c>
      <c r="N1717" s="17">
        <f>ROUND(0,2)</f>
        <v>0</v>
      </c>
      <c r="O1717" s="17">
        <f>ROUND(791.910000000001,2)</f>
        <v>791.91</v>
      </c>
      <c r="P1717" s="18">
        <v>90.68756401557422</v>
      </c>
      <c r="Q1717" s="18">
        <v>100</v>
      </c>
    </row>
    <row r="1718" spans="1:17" ht="12.75" customHeight="1">
      <c r="A1718" s="19" t="s">
        <v>68</v>
      </c>
      <c r="B1718" s="19"/>
      <c r="C1718" s="19"/>
      <c r="D1718" s="19"/>
      <c r="E1718" s="20">
        <f>SUM('DS1'!$A$432:$A$434)</f>
        <v>377823.06999999995</v>
      </c>
      <c r="F1718" s="20">
        <v>3400.41</v>
      </c>
      <c r="G1718" s="20">
        <v>381223.4799999999</v>
      </c>
      <c r="H1718" s="20">
        <v>271675.1</v>
      </c>
      <c r="I1718" s="21">
        <v>271675.1</v>
      </c>
      <c r="J1718" s="21"/>
      <c r="K1718" s="21">
        <v>271675.1</v>
      </c>
      <c r="L1718" s="21"/>
      <c r="M1718" s="20">
        <v>271675.1</v>
      </c>
      <c r="N1718" s="20">
        <v>271675.1</v>
      </c>
      <c r="O1718" s="20">
        <v>109548.38</v>
      </c>
      <c r="P1718" s="22">
        <v>28.736000206493063</v>
      </c>
      <c r="Q1718" s="22">
        <v>71.26399979350695</v>
      </c>
    </row>
    <row r="1719" spans="1:17" ht="12.75" customHeight="1">
      <c r="A1719" s="23"/>
      <c r="B1719" s="24"/>
      <c r="C1719" s="24"/>
      <c r="D1719" s="24"/>
      <c r="E1719" s="23"/>
      <c r="F1719" s="20">
        <v>0</v>
      </c>
      <c r="G1719" s="20">
        <v>0</v>
      </c>
      <c r="H1719" s="20">
        <v>0</v>
      </c>
      <c r="I1719" s="21">
        <v>0</v>
      </c>
      <c r="J1719" s="21"/>
      <c r="K1719" s="21">
        <v>0</v>
      </c>
      <c r="L1719" s="21"/>
      <c r="M1719" s="20">
        <v>0</v>
      </c>
      <c r="N1719" s="20">
        <v>0</v>
      </c>
      <c r="O1719" s="20">
        <v>109548.37999999998</v>
      </c>
      <c r="P1719" s="22">
        <v>71.26399979350695</v>
      </c>
      <c r="Q1719" s="22">
        <v>100</v>
      </c>
    </row>
    <row r="1720" spans="1:17" ht="20.25" customHeight="1">
      <c r="A1720" s="23"/>
      <c r="B1720" s="24"/>
      <c r="C1720" s="24"/>
      <c r="D1720" s="24"/>
      <c r="E1720" s="23"/>
      <c r="F1720" s="23"/>
      <c r="G1720" s="23"/>
      <c r="H1720" s="23"/>
      <c r="I1720" s="24"/>
      <c r="J1720" s="24"/>
      <c r="K1720" s="24"/>
      <c r="L1720" s="24"/>
      <c r="M1720" s="23"/>
      <c r="N1720" s="23"/>
      <c r="O1720" s="23"/>
      <c r="P1720" s="23"/>
      <c r="Q1720" s="23"/>
    </row>
    <row r="1721" spans="1:17" ht="12.75" customHeight="1">
      <c r="A1721" s="10"/>
      <c r="B1721" s="11" t="s">
        <v>1091</v>
      </c>
      <c r="C1721" s="11"/>
      <c r="D1721" s="11"/>
      <c r="E1721" s="12">
        <f>ROUND(6000,2)</f>
        <v>6000</v>
      </c>
      <c r="F1721" s="12">
        <f aca="true" t="shared" si="1012" ref="F1721:F1722">ROUND(0,2)</f>
        <v>0</v>
      </c>
      <c r="G1721" s="12">
        <f>ROUND(6000,2)</f>
        <v>6000</v>
      </c>
      <c r="H1721" s="12">
        <f>ROUND(470,2)</f>
        <v>470</v>
      </c>
      <c r="I1721" s="13">
        <f>ROUND(470,2)</f>
        <v>470</v>
      </c>
      <c r="J1721" s="13"/>
      <c r="K1721" s="13">
        <f>ROUND(470,2)</f>
        <v>470</v>
      </c>
      <c r="L1721" s="13"/>
      <c r="M1721" s="12">
        <f>ROUND(470,2)</f>
        <v>470</v>
      </c>
      <c r="N1721" s="12">
        <f>ROUND(470,2)</f>
        <v>470</v>
      </c>
      <c r="O1721" s="12">
        <f aca="true" t="shared" si="1013" ref="O1721:O1722">ROUND(5530,2)</f>
        <v>5530</v>
      </c>
      <c r="P1721" s="14">
        <v>92.16666666666666</v>
      </c>
      <c r="Q1721" s="14">
        <v>7.833333333333334</v>
      </c>
    </row>
    <row r="1722" spans="1:17" ht="12.75" customHeight="1">
      <c r="A1722" s="15" t="s">
        <v>1092</v>
      </c>
      <c r="B1722" s="15"/>
      <c r="C1722" s="15"/>
      <c r="D1722" s="15"/>
      <c r="E1722" s="16" t="s">
        <v>1022</v>
      </c>
      <c r="F1722" s="17">
        <f t="shared" si="1012"/>
        <v>0</v>
      </c>
      <c r="G1722" s="17">
        <f>ROUND(0,2)</f>
        <v>0</v>
      </c>
      <c r="H1722" s="17">
        <f>ROUND(0,2)</f>
        <v>0</v>
      </c>
      <c r="I1722" s="17">
        <f>ROUND(0,2)</f>
        <v>0</v>
      </c>
      <c r="J1722" s="17"/>
      <c r="K1722" s="17">
        <f>ROUND(0,2)</f>
        <v>0</v>
      </c>
      <c r="L1722" s="17"/>
      <c r="M1722" s="17">
        <f>ROUND(0,2)</f>
        <v>0</v>
      </c>
      <c r="N1722" s="17">
        <f>ROUND(0,2)</f>
        <v>0</v>
      </c>
      <c r="O1722" s="17">
        <f t="shared" si="1013"/>
        <v>5530</v>
      </c>
      <c r="P1722" s="18">
        <v>7.833333333333334</v>
      </c>
      <c r="Q1722" s="18">
        <v>100</v>
      </c>
    </row>
    <row r="1723" spans="1:17" ht="12.75" customHeight="1">
      <c r="A1723" s="19" t="s">
        <v>384</v>
      </c>
      <c r="B1723" s="19"/>
      <c r="C1723" s="19"/>
      <c r="D1723" s="19"/>
      <c r="E1723" s="20">
        <f>SUM('DS1'!$A$435)</f>
        <v>6000</v>
      </c>
      <c r="F1723" s="20">
        <v>0</v>
      </c>
      <c r="G1723" s="20">
        <v>6000</v>
      </c>
      <c r="H1723" s="20">
        <v>470</v>
      </c>
      <c r="I1723" s="21">
        <v>470</v>
      </c>
      <c r="J1723" s="21"/>
      <c r="K1723" s="21">
        <v>470</v>
      </c>
      <c r="L1723" s="21"/>
      <c r="M1723" s="20">
        <v>470</v>
      </c>
      <c r="N1723" s="20">
        <v>470</v>
      </c>
      <c r="O1723" s="20">
        <v>5530</v>
      </c>
      <c r="P1723" s="22">
        <v>92.16666666666666</v>
      </c>
      <c r="Q1723" s="22">
        <v>7.833333333333334</v>
      </c>
    </row>
    <row r="1724" spans="1:17" ht="12.75" customHeight="1">
      <c r="A1724" s="23"/>
      <c r="B1724" s="24"/>
      <c r="C1724" s="24"/>
      <c r="D1724" s="24"/>
      <c r="E1724" s="23"/>
      <c r="F1724" s="20">
        <v>0</v>
      </c>
      <c r="G1724" s="20">
        <v>0</v>
      </c>
      <c r="H1724" s="20">
        <v>0</v>
      </c>
      <c r="I1724" s="21">
        <v>0</v>
      </c>
      <c r="J1724" s="21"/>
      <c r="K1724" s="21">
        <v>0</v>
      </c>
      <c r="L1724" s="21"/>
      <c r="M1724" s="20">
        <v>0</v>
      </c>
      <c r="N1724" s="20">
        <v>0</v>
      </c>
      <c r="O1724" s="20">
        <v>5530</v>
      </c>
      <c r="P1724" s="22">
        <v>7.833333333333334</v>
      </c>
      <c r="Q1724" s="22">
        <v>100</v>
      </c>
    </row>
    <row r="1725" spans="1:17" ht="20.25" customHeight="1">
      <c r="A1725" s="23"/>
      <c r="B1725" s="24"/>
      <c r="C1725" s="24"/>
      <c r="D1725" s="24"/>
      <c r="E1725" s="23"/>
      <c r="F1725" s="23"/>
      <c r="G1725" s="23"/>
      <c r="H1725" s="23"/>
      <c r="I1725" s="24"/>
      <c r="J1725" s="24"/>
      <c r="K1725" s="24"/>
      <c r="L1725" s="24"/>
      <c r="M1725" s="23"/>
      <c r="N1725" s="23"/>
      <c r="O1725" s="23"/>
      <c r="P1725" s="23"/>
      <c r="Q1725" s="23"/>
    </row>
    <row r="1726" spans="1:17" ht="12.75" customHeight="1">
      <c r="A1726" s="10"/>
      <c r="B1726" s="11" t="s">
        <v>1093</v>
      </c>
      <c r="C1726" s="11"/>
      <c r="D1726" s="11"/>
      <c r="E1726" s="12">
        <f>ROUND(0,2)</f>
        <v>0</v>
      </c>
      <c r="F1726" s="12">
        <f aca="true" t="shared" si="1014" ref="F1726:F1727">ROUND(0,2)</f>
        <v>0</v>
      </c>
      <c r="G1726" s="12">
        <f aca="true" t="shared" si="1015" ref="G1726:G1727">ROUND(0,2)</f>
        <v>0</v>
      </c>
      <c r="H1726" s="12">
        <f>ROUND(1142.57,2)</f>
        <v>1142.57</v>
      </c>
      <c r="I1726" s="13">
        <f>ROUND(1142.57,2)</f>
        <v>1142.57</v>
      </c>
      <c r="J1726" s="13"/>
      <c r="K1726" s="13">
        <f>ROUND(1142.57,2)</f>
        <v>1142.57</v>
      </c>
      <c r="L1726" s="13"/>
      <c r="M1726" s="12">
        <f>ROUND(1142.57,2)</f>
        <v>1142.57</v>
      </c>
      <c r="N1726" s="12">
        <f>ROUND(1142.57,2)</f>
        <v>1142.57</v>
      </c>
      <c r="O1726" s="12">
        <f aca="true" t="shared" si="1016" ref="O1726:O1727">ROUND(-1142.57,2)</f>
        <v>-1142.57</v>
      </c>
      <c r="P1726" s="14">
        <v>0</v>
      </c>
      <c r="Q1726" s="14">
        <v>0</v>
      </c>
    </row>
    <row r="1727" spans="1:17" ht="12.75" customHeight="1">
      <c r="A1727" s="15" t="s">
        <v>1094</v>
      </c>
      <c r="B1727" s="15"/>
      <c r="C1727" s="15"/>
      <c r="D1727" s="15"/>
      <c r="E1727" s="16" t="s">
        <v>1022</v>
      </c>
      <c r="F1727" s="17">
        <f t="shared" si="1014"/>
        <v>0</v>
      </c>
      <c r="G1727" s="17">
        <f t="shared" si="1015"/>
        <v>0</v>
      </c>
      <c r="H1727" s="17">
        <f>ROUND(0,2)</f>
        <v>0</v>
      </c>
      <c r="I1727" s="17">
        <f>ROUND(0,2)</f>
        <v>0</v>
      </c>
      <c r="J1727" s="17"/>
      <c r="K1727" s="17">
        <f>ROUND(0,2)</f>
        <v>0</v>
      </c>
      <c r="L1727" s="17"/>
      <c r="M1727" s="17">
        <f>ROUND(0,2)</f>
        <v>0</v>
      </c>
      <c r="N1727" s="17">
        <f>ROUND(0,2)</f>
        <v>0</v>
      </c>
      <c r="O1727" s="17">
        <f t="shared" si="1016"/>
        <v>-1142.57</v>
      </c>
      <c r="P1727" s="18">
        <v>0</v>
      </c>
      <c r="Q1727" s="18">
        <v>100</v>
      </c>
    </row>
    <row r="1728" spans="1:17" ht="12.75" customHeight="1">
      <c r="A1728" s="19" t="s">
        <v>114</v>
      </c>
      <c r="B1728" s="19"/>
      <c r="C1728" s="19"/>
      <c r="D1728" s="19"/>
      <c r="E1728" s="20">
        <f>SUM('DS1'!$A$436)</f>
        <v>0</v>
      </c>
      <c r="F1728" s="20">
        <v>0</v>
      </c>
      <c r="G1728" s="20">
        <v>0</v>
      </c>
      <c r="H1728" s="20">
        <v>1142.57</v>
      </c>
      <c r="I1728" s="21">
        <v>1142.57</v>
      </c>
      <c r="J1728" s="21"/>
      <c r="K1728" s="21">
        <v>1142.57</v>
      </c>
      <c r="L1728" s="21"/>
      <c r="M1728" s="20">
        <v>1142.57</v>
      </c>
      <c r="N1728" s="20">
        <v>1142.57</v>
      </c>
      <c r="O1728" s="20">
        <v>-1142.57</v>
      </c>
      <c r="P1728" s="22">
        <v>0</v>
      </c>
      <c r="Q1728" s="22">
        <v>0</v>
      </c>
    </row>
    <row r="1729" spans="1:17" ht="12.75" customHeight="1">
      <c r="A1729" s="23"/>
      <c r="B1729" s="24"/>
      <c r="C1729" s="24"/>
      <c r="D1729" s="24"/>
      <c r="E1729" s="23"/>
      <c r="F1729" s="20">
        <v>0</v>
      </c>
      <c r="G1729" s="20">
        <v>0</v>
      </c>
      <c r="H1729" s="20">
        <v>0</v>
      </c>
      <c r="I1729" s="21">
        <v>0</v>
      </c>
      <c r="J1729" s="21"/>
      <c r="K1729" s="21">
        <v>0</v>
      </c>
      <c r="L1729" s="21"/>
      <c r="M1729" s="20">
        <v>0</v>
      </c>
      <c r="N1729" s="20">
        <v>0</v>
      </c>
      <c r="O1729" s="20">
        <v>-1142.57</v>
      </c>
      <c r="P1729" s="22">
        <v>0</v>
      </c>
      <c r="Q1729" s="22">
        <v>100</v>
      </c>
    </row>
    <row r="1730" spans="1:17" ht="20.25" customHeight="1">
      <c r="A1730" s="23"/>
      <c r="B1730" s="24"/>
      <c r="C1730" s="24"/>
      <c r="D1730" s="24"/>
      <c r="E1730" s="23"/>
      <c r="F1730" s="23"/>
      <c r="G1730" s="23"/>
      <c r="H1730" s="23"/>
      <c r="I1730" s="24"/>
      <c r="J1730" s="24"/>
      <c r="K1730" s="24"/>
      <c r="L1730" s="24"/>
      <c r="M1730" s="23"/>
      <c r="N1730" s="23"/>
      <c r="O1730" s="23"/>
      <c r="P1730" s="23"/>
      <c r="Q1730" s="23"/>
    </row>
    <row r="1731" spans="1:17" ht="12.75" customHeight="1">
      <c r="A1731" s="10"/>
      <c r="B1731" s="11" t="s">
        <v>1095</v>
      </c>
      <c r="C1731" s="11"/>
      <c r="D1731" s="11"/>
      <c r="E1731" s="12">
        <f>ROUND(1500,2)</f>
        <v>1500</v>
      </c>
      <c r="F1731" s="12">
        <f aca="true" t="shared" si="1017" ref="F1731:F1732">ROUND(0,2)</f>
        <v>0</v>
      </c>
      <c r="G1731" s="12">
        <f>ROUND(1500,2)</f>
        <v>1500</v>
      </c>
      <c r="H1731" s="12">
        <f aca="true" t="shared" si="1018" ref="H1731:H1732">ROUND(0,2)</f>
        <v>0</v>
      </c>
      <c r="I1731" s="13">
        <f aca="true" t="shared" si="1019" ref="I1731:I1732">ROUND(0,2)</f>
        <v>0</v>
      </c>
      <c r="J1731" s="13"/>
      <c r="K1731" s="13">
        <f aca="true" t="shared" si="1020" ref="K1731:K1732">ROUND(0,2)</f>
        <v>0</v>
      </c>
      <c r="L1731" s="13"/>
      <c r="M1731" s="12">
        <f aca="true" t="shared" si="1021" ref="M1731:M1732">ROUND(0,2)</f>
        <v>0</v>
      </c>
      <c r="N1731" s="12">
        <f aca="true" t="shared" si="1022" ref="N1731:N1732">ROUND(0,2)</f>
        <v>0</v>
      </c>
      <c r="O1731" s="12">
        <f aca="true" t="shared" si="1023" ref="O1731:O1732">ROUND(1500,2)</f>
        <v>1500</v>
      </c>
      <c r="P1731" s="14">
        <v>100</v>
      </c>
      <c r="Q1731" s="14">
        <v>0</v>
      </c>
    </row>
    <row r="1732" spans="1:17" ht="12.75" customHeight="1">
      <c r="A1732" s="15" t="s">
        <v>1096</v>
      </c>
      <c r="B1732" s="15"/>
      <c r="C1732" s="15"/>
      <c r="D1732" s="15"/>
      <c r="E1732" s="16" t="s">
        <v>1097</v>
      </c>
      <c r="F1732" s="17">
        <f t="shared" si="1017"/>
        <v>0</v>
      </c>
      <c r="G1732" s="17">
        <f>ROUND(0,2)</f>
        <v>0</v>
      </c>
      <c r="H1732" s="17">
        <f t="shared" si="1018"/>
        <v>0</v>
      </c>
      <c r="I1732" s="17">
        <f t="shared" si="1019"/>
        <v>0</v>
      </c>
      <c r="J1732" s="17"/>
      <c r="K1732" s="17">
        <f t="shared" si="1020"/>
        <v>0</v>
      </c>
      <c r="L1732" s="17"/>
      <c r="M1732" s="17">
        <f t="shared" si="1021"/>
        <v>0</v>
      </c>
      <c r="N1732" s="17">
        <f t="shared" si="1022"/>
        <v>0</v>
      </c>
      <c r="O1732" s="17">
        <f t="shared" si="1023"/>
        <v>1500</v>
      </c>
      <c r="P1732" s="18">
        <v>0</v>
      </c>
      <c r="Q1732" s="18">
        <v>0</v>
      </c>
    </row>
    <row r="1733" spans="1:17" ht="12.75" customHeight="1">
      <c r="A1733" s="19" t="s">
        <v>368</v>
      </c>
      <c r="B1733" s="19"/>
      <c r="C1733" s="19"/>
      <c r="D1733" s="19"/>
      <c r="E1733" s="20">
        <f>SUM('DS1'!$A$437)</f>
        <v>1500</v>
      </c>
      <c r="F1733" s="20">
        <v>0</v>
      </c>
      <c r="G1733" s="20">
        <v>1500</v>
      </c>
      <c r="H1733" s="20">
        <v>0</v>
      </c>
      <c r="I1733" s="21">
        <v>0</v>
      </c>
      <c r="J1733" s="21"/>
      <c r="K1733" s="21">
        <v>0</v>
      </c>
      <c r="L1733" s="21"/>
      <c r="M1733" s="20">
        <v>0</v>
      </c>
      <c r="N1733" s="20">
        <v>0</v>
      </c>
      <c r="O1733" s="20">
        <v>1500</v>
      </c>
      <c r="P1733" s="22">
        <v>100</v>
      </c>
      <c r="Q1733" s="22">
        <v>0</v>
      </c>
    </row>
    <row r="1734" spans="1:17" ht="12.75" customHeight="1">
      <c r="A1734" s="23"/>
      <c r="B1734" s="24"/>
      <c r="C1734" s="24"/>
      <c r="D1734" s="24"/>
      <c r="E1734" s="23"/>
      <c r="F1734" s="20">
        <v>0</v>
      </c>
      <c r="G1734" s="20">
        <v>0</v>
      </c>
      <c r="H1734" s="20">
        <v>0</v>
      </c>
      <c r="I1734" s="21">
        <v>0</v>
      </c>
      <c r="J1734" s="21"/>
      <c r="K1734" s="21">
        <v>0</v>
      </c>
      <c r="L1734" s="21"/>
      <c r="M1734" s="20">
        <v>0</v>
      </c>
      <c r="N1734" s="20">
        <v>0</v>
      </c>
      <c r="O1734" s="20">
        <v>1500</v>
      </c>
      <c r="P1734" s="22">
        <v>0</v>
      </c>
      <c r="Q1734" s="22">
        <v>0</v>
      </c>
    </row>
    <row r="1735" spans="1:17" ht="20.25" customHeight="1">
      <c r="A1735" s="23"/>
      <c r="B1735" s="24"/>
      <c r="C1735" s="24"/>
      <c r="D1735" s="24"/>
      <c r="E1735" s="23"/>
      <c r="F1735" s="23"/>
      <c r="G1735" s="23"/>
      <c r="H1735" s="23"/>
      <c r="I1735" s="24"/>
      <c r="J1735" s="24"/>
      <c r="K1735" s="24"/>
      <c r="L1735" s="24"/>
      <c r="M1735" s="23"/>
      <c r="N1735" s="23"/>
      <c r="O1735" s="23"/>
      <c r="P1735" s="23"/>
      <c r="Q1735" s="23"/>
    </row>
    <row r="1736" spans="1:17" ht="12.75" customHeight="1">
      <c r="A1736" s="10"/>
      <c r="B1736" s="11" t="s">
        <v>1098</v>
      </c>
      <c r="C1736" s="11"/>
      <c r="D1736" s="11"/>
      <c r="E1736" s="12">
        <f>ROUND(5000,2)</f>
        <v>5000</v>
      </c>
      <c r="F1736" s="12">
        <f aca="true" t="shared" si="1024" ref="F1736:F1737">ROUND(0,2)</f>
        <v>0</v>
      </c>
      <c r="G1736" s="12">
        <f>ROUND(5000,2)</f>
        <v>5000</v>
      </c>
      <c r="H1736" s="12">
        <f>ROUND(22500,2)</f>
        <v>22500</v>
      </c>
      <c r="I1736" s="13">
        <f>ROUND(22500,2)</f>
        <v>22500</v>
      </c>
      <c r="J1736" s="13"/>
      <c r="K1736" s="13">
        <f>ROUND(11941.95,2)</f>
        <v>11941.95</v>
      </c>
      <c r="L1736" s="13"/>
      <c r="M1736" s="12">
        <f>ROUND(11941.95,2)</f>
        <v>11941.95</v>
      </c>
      <c r="N1736" s="12">
        <f>ROUND(11941.95,2)</f>
        <v>11941.95</v>
      </c>
      <c r="O1736" s="12">
        <f>ROUND(-17500,2)</f>
        <v>-17500</v>
      </c>
      <c r="P1736" s="14">
        <v>-350</v>
      </c>
      <c r="Q1736" s="14">
        <v>238.83900000000003</v>
      </c>
    </row>
    <row r="1737" spans="1:17" ht="12.75" customHeight="1">
      <c r="A1737" s="15" t="s">
        <v>1099</v>
      </c>
      <c r="B1737" s="15"/>
      <c r="C1737" s="15"/>
      <c r="D1737" s="15"/>
      <c r="E1737" s="16" t="s">
        <v>1097</v>
      </c>
      <c r="F1737" s="17">
        <f t="shared" si="1024"/>
        <v>0</v>
      </c>
      <c r="G1737" s="17">
        <f>ROUND(0,2)</f>
        <v>0</v>
      </c>
      <c r="H1737" s="17">
        <f>ROUND(0,2)</f>
        <v>0</v>
      </c>
      <c r="I1737" s="17">
        <f>ROUND(10558.05,2)</f>
        <v>10558.05</v>
      </c>
      <c r="J1737" s="17"/>
      <c r="K1737" s="17">
        <f>ROUND(0,2)</f>
        <v>0</v>
      </c>
      <c r="L1737" s="17"/>
      <c r="M1737" s="17">
        <f>ROUND(0,2)</f>
        <v>0</v>
      </c>
      <c r="N1737" s="17">
        <f>ROUND(0,2)</f>
        <v>0</v>
      </c>
      <c r="O1737" s="17">
        <f>ROUND(-6941.95,2)</f>
        <v>-6941.95</v>
      </c>
      <c r="P1737" s="18">
        <v>450</v>
      </c>
      <c r="Q1737" s="18">
        <v>100</v>
      </c>
    </row>
    <row r="1738" spans="1:17" ht="12.75" customHeight="1">
      <c r="A1738" s="19" t="s">
        <v>304</v>
      </c>
      <c r="B1738" s="19"/>
      <c r="C1738" s="19"/>
      <c r="D1738" s="19"/>
      <c r="E1738" s="20">
        <f>SUM('DS1'!$A$438)</f>
        <v>5000</v>
      </c>
      <c r="F1738" s="20">
        <v>0</v>
      </c>
      <c r="G1738" s="20">
        <v>5000</v>
      </c>
      <c r="H1738" s="20">
        <v>22500</v>
      </c>
      <c r="I1738" s="21">
        <v>22500</v>
      </c>
      <c r="J1738" s="21"/>
      <c r="K1738" s="21">
        <v>11941.95</v>
      </c>
      <c r="L1738" s="21"/>
      <c r="M1738" s="20">
        <v>11941.95</v>
      </c>
      <c r="N1738" s="20">
        <v>11941.95</v>
      </c>
      <c r="O1738" s="20">
        <v>-17500</v>
      </c>
      <c r="P1738" s="22">
        <v>-350</v>
      </c>
      <c r="Q1738" s="22">
        <v>238.83900000000003</v>
      </c>
    </row>
    <row r="1739" spans="1:17" ht="12.75" customHeight="1">
      <c r="A1739" s="23"/>
      <c r="B1739" s="24"/>
      <c r="C1739" s="24"/>
      <c r="D1739" s="24"/>
      <c r="E1739" s="23"/>
      <c r="F1739" s="20">
        <v>0</v>
      </c>
      <c r="G1739" s="20">
        <v>0</v>
      </c>
      <c r="H1739" s="20">
        <v>0</v>
      </c>
      <c r="I1739" s="21">
        <v>10558.05</v>
      </c>
      <c r="J1739" s="21"/>
      <c r="K1739" s="21">
        <v>0</v>
      </c>
      <c r="L1739" s="21"/>
      <c r="M1739" s="20">
        <v>0</v>
      </c>
      <c r="N1739" s="20">
        <v>0</v>
      </c>
      <c r="O1739" s="20">
        <v>-6941.950000000001</v>
      </c>
      <c r="P1739" s="22">
        <v>450</v>
      </c>
      <c r="Q1739" s="22">
        <v>100</v>
      </c>
    </row>
    <row r="1740" spans="1:17" ht="20.25" customHeight="1">
      <c r="A1740" s="23"/>
      <c r="B1740" s="24"/>
      <c r="C1740" s="24"/>
      <c r="D1740" s="24"/>
      <c r="E1740" s="23"/>
      <c r="F1740" s="23"/>
      <c r="G1740" s="23"/>
      <c r="H1740" s="23"/>
      <c r="I1740" s="24"/>
      <c r="J1740" s="24"/>
      <c r="K1740" s="24"/>
      <c r="L1740" s="24"/>
      <c r="M1740" s="23"/>
      <c r="N1740" s="23"/>
      <c r="O1740" s="23"/>
      <c r="P1740" s="23"/>
      <c r="Q1740" s="23"/>
    </row>
    <row r="1741" spans="1:17" ht="12.75" customHeight="1">
      <c r="A1741" s="10"/>
      <c r="B1741" s="11" t="s">
        <v>1100</v>
      </c>
      <c r="C1741" s="11"/>
      <c r="D1741" s="11"/>
      <c r="E1741" s="12">
        <f>ROUND(0,2)</f>
        <v>0</v>
      </c>
      <c r="F1741" s="12">
        <f aca="true" t="shared" si="1025" ref="F1741:F1742">ROUND(0,2)</f>
        <v>0</v>
      </c>
      <c r="G1741" s="12">
        <f aca="true" t="shared" si="1026" ref="G1741:G1742">ROUND(0,2)</f>
        <v>0</v>
      </c>
      <c r="H1741" s="12">
        <f>ROUND(2140,2)</f>
        <v>2140</v>
      </c>
      <c r="I1741" s="13">
        <f>ROUND(2140,2)</f>
        <v>2140</v>
      </c>
      <c r="J1741" s="13"/>
      <c r="K1741" s="13">
        <f>ROUND(2140,2)</f>
        <v>2140</v>
      </c>
      <c r="L1741" s="13"/>
      <c r="M1741" s="12">
        <f>ROUND(2140,2)</f>
        <v>2140</v>
      </c>
      <c r="N1741" s="12">
        <f>ROUND(2140,2)</f>
        <v>2140</v>
      </c>
      <c r="O1741" s="12">
        <f aca="true" t="shared" si="1027" ref="O1741:O1742">ROUND(-2140,2)</f>
        <v>-2140</v>
      </c>
      <c r="P1741" s="14">
        <v>0</v>
      </c>
      <c r="Q1741" s="14">
        <v>0</v>
      </c>
    </row>
    <row r="1742" spans="1:17" ht="12.75" customHeight="1">
      <c r="A1742" s="15" t="s">
        <v>1101</v>
      </c>
      <c r="B1742" s="15"/>
      <c r="C1742" s="15"/>
      <c r="D1742" s="15"/>
      <c r="E1742" s="16" t="s">
        <v>1097</v>
      </c>
      <c r="F1742" s="17">
        <f t="shared" si="1025"/>
        <v>0</v>
      </c>
      <c r="G1742" s="17">
        <f t="shared" si="1026"/>
        <v>0</v>
      </c>
      <c r="H1742" s="17">
        <f>ROUND(0,2)</f>
        <v>0</v>
      </c>
      <c r="I1742" s="17">
        <f>ROUND(0,2)</f>
        <v>0</v>
      </c>
      <c r="J1742" s="17"/>
      <c r="K1742" s="17">
        <f>ROUND(0,2)</f>
        <v>0</v>
      </c>
      <c r="L1742" s="17"/>
      <c r="M1742" s="17">
        <f>ROUND(0,2)</f>
        <v>0</v>
      </c>
      <c r="N1742" s="17">
        <f>ROUND(0,2)</f>
        <v>0</v>
      </c>
      <c r="O1742" s="17">
        <f t="shared" si="1027"/>
        <v>-2140</v>
      </c>
      <c r="P1742" s="18">
        <v>0</v>
      </c>
      <c r="Q1742" s="18">
        <v>100</v>
      </c>
    </row>
    <row r="1743" spans="1:17" ht="12.75" customHeight="1">
      <c r="A1743" s="19" t="s">
        <v>726</v>
      </c>
      <c r="B1743" s="19"/>
      <c r="C1743" s="19"/>
      <c r="D1743" s="19"/>
      <c r="E1743" s="20">
        <f>SUM('DS1'!$A$439)</f>
        <v>0</v>
      </c>
      <c r="F1743" s="20">
        <v>0</v>
      </c>
      <c r="G1743" s="20">
        <v>0</v>
      </c>
      <c r="H1743" s="20">
        <v>2140</v>
      </c>
      <c r="I1743" s="21">
        <v>2140</v>
      </c>
      <c r="J1743" s="21"/>
      <c r="K1743" s="21">
        <v>2140</v>
      </c>
      <c r="L1743" s="21"/>
      <c r="M1743" s="20">
        <v>2140</v>
      </c>
      <c r="N1743" s="20">
        <v>2140</v>
      </c>
      <c r="O1743" s="20">
        <v>-2140</v>
      </c>
      <c r="P1743" s="22">
        <v>0</v>
      </c>
      <c r="Q1743" s="22">
        <v>0</v>
      </c>
    </row>
    <row r="1744" spans="1:17" ht="12.75" customHeight="1">
      <c r="A1744" s="23"/>
      <c r="B1744" s="24"/>
      <c r="C1744" s="24"/>
      <c r="D1744" s="24"/>
      <c r="E1744" s="23"/>
      <c r="F1744" s="20">
        <v>0</v>
      </c>
      <c r="G1744" s="20">
        <v>0</v>
      </c>
      <c r="H1744" s="20">
        <v>0</v>
      </c>
      <c r="I1744" s="21">
        <v>0</v>
      </c>
      <c r="J1744" s="21"/>
      <c r="K1744" s="21">
        <v>0</v>
      </c>
      <c r="L1744" s="21"/>
      <c r="M1744" s="20">
        <v>0</v>
      </c>
      <c r="N1744" s="20">
        <v>0</v>
      </c>
      <c r="O1744" s="20">
        <v>-2140</v>
      </c>
      <c r="P1744" s="22">
        <v>0</v>
      </c>
      <c r="Q1744" s="22">
        <v>100</v>
      </c>
    </row>
    <row r="1745" spans="1:17" ht="20.25" customHeight="1">
      <c r="A1745" s="23"/>
      <c r="B1745" s="24"/>
      <c r="C1745" s="24"/>
      <c r="D1745" s="24"/>
      <c r="E1745" s="23"/>
      <c r="F1745" s="23"/>
      <c r="G1745" s="23"/>
      <c r="H1745" s="23"/>
      <c r="I1745" s="24"/>
      <c r="J1745" s="24"/>
      <c r="K1745" s="24"/>
      <c r="L1745" s="24"/>
      <c r="M1745" s="23"/>
      <c r="N1745" s="23"/>
      <c r="O1745" s="23"/>
      <c r="P1745" s="23"/>
      <c r="Q1745" s="23"/>
    </row>
    <row r="1746" spans="1:17" ht="12.75" customHeight="1">
      <c r="A1746" s="10"/>
      <c r="B1746" s="11" t="s">
        <v>1102</v>
      </c>
      <c r="C1746" s="11"/>
      <c r="D1746" s="11"/>
      <c r="E1746" s="12">
        <f>ROUND(260000,2)</f>
        <v>260000</v>
      </c>
      <c r="F1746" s="12">
        <f aca="true" t="shared" si="1028" ref="F1746:F1747">ROUND(0,2)</f>
        <v>0</v>
      </c>
      <c r="G1746" s="12">
        <f>ROUND(260000,2)</f>
        <v>260000</v>
      </c>
      <c r="H1746" s="12">
        <f>ROUND(42551.98,2)</f>
        <v>42551.98</v>
      </c>
      <c r="I1746" s="13">
        <f>ROUND(42551.98,2)</f>
        <v>42551.98</v>
      </c>
      <c r="J1746" s="13"/>
      <c r="K1746" s="13">
        <f>ROUND(42551.98,2)</f>
        <v>42551.98</v>
      </c>
      <c r="L1746" s="13"/>
      <c r="M1746" s="12">
        <f>ROUND(42551.98,2)</f>
        <v>42551.98</v>
      </c>
      <c r="N1746" s="12">
        <f>ROUND(42551.98,2)</f>
        <v>42551.98</v>
      </c>
      <c r="O1746" s="12">
        <f aca="true" t="shared" si="1029" ref="O1746:O1747">ROUND(217448.02,2)</f>
        <v>217448.02</v>
      </c>
      <c r="P1746" s="14">
        <v>83.63385384615384</v>
      </c>
      <c r="Q1746" s="14">
        <v>16.366146153846156</v>
      </c>
    </row>
    <row r="1747" spans="1:17" ht="12.75" customHeight="1">
      <c r="A1747" s="15" t="s">
        <v>1103</v>
      </c>
      <c r="B1747" s="15"/>
      <c r="C1747" s="15"/>
      <c r="D1747" s="15"/>
      <c r="E1747" s="16" t="s">
        <v>1097</v>
      </c>
      <c r="F1747" s="17">
        <f t="shared" si="1028"/>
        <v>0</v>
      </c>
      <c r="G1747" s="17">
        <f>ROUND(0,2)</f>
        <v>0</v>
      </c>
      <c r="H1747" s="17">
        <f>ROUND(0,2)</f>
        <v>0</v>
      </c>
      <c r="I1747" s="17">
        <f>ROUND(0,2)</f>
        <v>0</v>
      </c>
      <c r="J1747" s="17"/>
      <c r="K1747" s="17">
        <f>ROUND(0,2)</f>
        <v>0</v>
      </c>
      <c r="L1747" s="17"/>
      <c r="M1747" s="17">
        <f>ROUND(0,2)</f>
        <v>0</v>
      </c>
      <c r="N1747" s="17">
        <f>ROUND(19974.22,2)</f>
        <v>19974.22</v>
      </c>
      <c r="O1747" s="17">
        <f t="shared" si="1029"/>
        <v>217448.02</v>
      </c>
      <c r="P1747" s="18">
        <v>16.366146153846156</v>
      </c>
      <c r="Q1747" s="18">
        <v>100</v>
      </c>
    </row>
    <row r="1748" spans="1:17" ht="12.75" customHeight="1">
      <c r="A1748" s="19" t="s">
        <v>1104</v>
      </c>
      <c r="B1748" s="19"/>
      <c r="C1748" s="19"/>
      <c r="D1748" s="19"/>
      <c r="E1748" s="20">
        <f>SUM('DS1'!$A$440)</f>
        <v>260000</v>
      </c>
      <c r="F1748" s="20">
        <v>0</v>
      </c>
      <c r="G1748" s="20">
        <v>260000</v>
      </c>
      <c r="H1748" s="20">
        <v>42551.98</v>
      </c>
      <c r="I1748" s="21">
        <v>42551.98</v>
      </c>
      <c r="J1748" s="21"/>
      <c r="K1748" s="21">
        <v>42551.98</v>
      </c>
      <c r="L1748" s="21"/>
      <c r="M1748" s="20">
        <v>42551.98</v>
      </c>
      <c r="N1748" s="20">
        <v>42551.98</v>
      </c>
      <c r="O1748" s="20">
        <v>217448.02</v>
      </c>
      <c r="P1748" s="22">
        <v>83.63385384615384</v>
      </c>
      <c r="Q1748" s="22">
        <v>16.366146153846156</v>
      </c>
    </row>
    <row r="1749" spans="1:17" ht="12.75" customHeight="1">
      <c r="A1749" s="23"/>
      <c r="B1749" s="24"/>
      <c r="C1749" s="24"/>
      <c r="D1749" s="24"/>
      <c r="E1749" s="23"/>
      <c r="F1749" s="20">
        <v>0</v>
      </c>
      <c r="G1749" s="20">
        <v>0</v>
      </c>
      <c r="H1749" s="20">
        <v>0</v>
      </c>
      <c r="I1749" s="21">
        <v>0</v>
      </c>
      <c r="J1749" s="21"/>
      <c r="K1749" s="21">
        <v>0</v>
      </c>
      <c r="L1749" s="21"/>
      <c r="M1749" s="20">
        <v>0</v>
      </c>
      <c r="N1749" s="20">
        <v>19974.22</v>
      </c>
      <c r="O1749" s="20">
        <v>217448.02</v>
      </c>
      <c r="P1749" s="22">
        <v>16.366146153846156</v>
      </c>
      <c r="Q1749" s="22">
        <v>100</v>
      </c>
    </row>
    <row r="1750" spans="1:17" ht="20.25" customHeight="1">
      <c r="A1750" s="23"/>
      <c r="B1750" s="24"/>
      <c r="C1750" s="24"/>
      <c r="D1750" s="24"/>
      <c r="E1750" s="23"/>
      <c r="F1750" s="23"/>
      <c r="G1750" s="23"/>
      <c r="H1750" s="23"/>
      <c r="I1750" s="24"/>
      <c r="J1750" s="24"/>
      <c r="K1750" s="24"/>
      <c r="L1750" s="24"/>
      <c r="M1750" s="23"/>
      <c r="N1750" s="23"/>
      <c r="O1750" s="23"/>
      <c r="P1750" s="23"/>
      <c r="Q1750" s="23"/>
    </row>
    <row r="1751" spans="1:17" ht="12.75" customHeight="1">
      <c r="A1751" s="10"/>
      <c r="B1751" s="11" t="s">
        <v>1105</v>
      </c>
      <c r="C1751" s="11"/>
      <c r="D1751" s="11"/>
      <c r="E1751" s="12">
        <f>ROUND(30000,2)</f>
        <v>30000</v>
      </c>
      <c r="F1751" s="12">
        <f aca="true" t="shared" si="1030" ref="F1751:F1752">ROUND(0,2)</f>
        <v>0</v>
      </c>
      <c r="G1751" s="12">
        <f>ROUND(30000,2)</f>
        <v>30000</v>
      </c>
      <c r="H1751" s="12">
        <f>ROUND(1406.8,2)</f>
        <v>1406.8</v>
      </c>
      <c r="I1751" s="13">
        <f>ROUND(1406.8,2)</f>
        <v>1406.8</v>
      </c>
      <c r="J1751" s="13"/>
      <c r="K1751" s="13">
        <f>ROUND(1406.8,2)</f>
        <v>1406.8</v>
      </c>
      <c r="L1751" s="13"/>
      <c r="M1751" s="12">
        <f>ROUND(1406.8,2)</f>
        <v>1406.8</v>
      </c>
      <c r="N1751" s="12">
        <f>ROUND(1406.8,2)</f>
        <v>1406.8</v>
      </c>
      <c r="O1751" s="12">
        <f aca="true" t="shared" si="1031" ref="O1751:O1752">ROUND(28593.2,2)</f>
        <v>28593.2</v>
      </c>
      <c r="P1751" s="14">
        <v>95.31066666666666</v>
      </c>
      <c r="Q1751" s="14">
        <v>4.689333333333333</v>
      </c>
    </row>
    <row r="1752" spans="1:17" ht="12.75" customHeight="1">
      <c r="A1752" s="15" t="s">
        <v>1106</v>
      </c>
      <c r="B1752" s="15"/>
      <c r="C1752" s="15"/>
      <c r="D1752" s="15"/>
      <c r="E1752" s="16" t="s">
        <v>1097</v>
      </c>
      <c r="F1752" s="17">
        <f t="shared" si="1030"/>
        <v>0</v>
      </c>
      <c r="G1752" s="17">
        <f>ROUND(0,2)</f>
        <v>0</v>
      </c>
      <c r="H1752" s="17">
        <f>ROUND(0,2)</f>
        <v>0</v>
      </c>
      <c r="I1752" s="17">
        <f>ROUND(0,2)</f>
        <v>0</v>
      </c>
      <c r="J1752" s="17"/>
      <c r="K1752" s="17">
        <f>ROUND(0,2)</f>
        <v>0</v>
      </c>
      <c r="L1752" s="17"/>
      <c r="M1752" s="17">
        <f>ROUND(0,2)</f>
        <v>0</v>
      </c>
      <c r="N1752" s="17">
        <f>ROUND(0,2)</f>
        <v>0</v>
      </c>
      <c r="O1752" s="17">
        <f t="shared" si="1031"/>
        <v>28593.2</v>
      </c>
      <c r="P1752" s="18">
        <v>4.689333333333333</v>
      </c>
      <c r="Q1752" s="18">
        <v>100</v>
      </c>
    </row>
    <row r="1753" spans="1:17" ht="12.75" customHeight="1">
      <c r="A1753" s="19" t="s">
        <v>373</v>
      </c>
      <c r="B1753" s="19"/>
      <c r="C1753" s="19"/>
      <c r="D1753" s="19"/>
      <c r="E1753" s="20">
        <f>SUM('DS1'!$A$441)</f>
        <v>30000</v>
      </c>
      <c r="F1753" s="20">
        <v>0</v>
      </c>
      <c r="G1753" s="20">
        <v>30000</v>
      </c>
      <c r="H1753" s="20">
        <v>1406.8</v>
      </c>
      <c r="I1753" s="21">
        <v>1406.8</v>
      </c>
      <c r="J1753" s="21"/>
      <c r="K1753" s="21">
        <v>1406.8</v>
      </c>
      <c r="L1753" s="21"/>
      <c r="M1753" s="20">
        <v>1406.8</v>
      </c>
      <c r="N1753" s="20">
        <v>1406.8</v>
      </c>
      <c r="O1753" s="20">
        <v>28593.2</v>
      </c>
      <c r="P1753" s="22">
        <v>95.31066666666666</v>
      </c>
      <c r="Q1753" s="22">
        <v>4.689333333333333</v>
      </c>
    </row>
    <row r="1754" spans="1:17" ht="12.75" customHeight="1">
      <c r="A1754" s="23"/>
      <c r="B1754" s="24"/>
      <c r="C1754" s="24"/>
      <c r="D1754" s="24"/>
      <c r="E1754" s="23"/>
      <c r="F1754" s="20">
        <v>0</v>
      </c>
      <c r="G1754" s="20">
        <v>0</v>
      </c>
      <c r="H1754" s="20">
        <v>0</v>
      </c>
      <c r="I1754" s="21">
        <v>0</v>
      </c>
      <c r="J1754" s="21"/>
      <c r="K1754" s="21">
        <v>0</v>
      </c>
      <c r="L1754" s="21"/>
      <c r="M1754" s="20">
        <v>0</v>
      </c>
      <c r="N1754" s="20">
        <v>0</v>
      </c>
      <c r="O1754" s="20">
        <v>28593.2</v>
      </c>
      <c r="P1754" s="22">
        <v>4.689333333333333</v>
      </c>
      <c r="Q1754" s="22">
        <v>100</v>
      </c>
    </row>
    <row r="1755" spans="1:17" ht="20.25" customHeight="1">
      <c r="A1755" s="23"/>
      <c r="B1755" s="24"/>
      <c r="C1755" s="24"/>
      <c r="D1755" s="24"/>
      <c r="E1755" s="23"/>
      <c r="F1755" s="23"/>
      <c r="G1755" s="23"/>
      <c r="H1755" s="23"/>
      <c r="I1755" s="24"/>
      <c r="J1755" s="24"/>
      <c r="K1755" s="24"/>
      <c r="L1755" s="24"/>
      <c r="M1755" s="23"/>
      <c r="N1755" s="23"/>
      <c r="O1755" s="23"/>
      <c r="P1755" s="23"/>
      <c r="Q1755" s="23"/>
    </row>
    <row r="1756" spans="1:17" ht="12.75" customHeight="1">
      <c r="A1756" s="10" t="s">
        <v>83</v>
      </c>
      <c r="B1756" s="11" t="s">
        <v>1107</v>
      </c>
      <c r="C1756" s="11"/>
      <c r="D1756" s="11"/>
      <c r="E1756" s="12">
        <f>ROUND(0,2)</f>
        <v>0</v>
      </c>
      <c r="F1756" s="12">
        <f aca="true" t="shared" si="1032" ref="F1756:F1757">ROUND(6192.18,2)</f>
        <v>6192.18</v>
      </c>
      <c r="G1756" s="12">
        <f>ROUND(6192.18,2)</f>
        <v>6192.18</v>
      </c>
      <c r="H1756" s="12">
        <f>ROUND(6192.18,2)</f>
        <v>6192.18</v>
      </c>
      <c r="I1756" s="13">
        <f>ROUND(6192.18,2)</f>
        <v>6192.18</v>
      </c>
      <c r="J1756" s="13"/>
      <c r="K1756" s="13">
        <f>ROUND(6192.18,2)</f>
        <v>6192.18</v>
      </c>
      <c r="L1756" s="13"/>
      <c r="M1756" s="12">
        <f>ROUND(6192.18,2)</f>
        <v>6192.18</v>
      </c>
      <c r="N1756" s="12">
        <f>ROUND(6192.18,2)</f>
        <v>6192.18</v>
      </c>
      <c r="O1756" s="12">
        <f aca="true" t="shared" si="1033" ref="O1756:O1757">ROUND(0,2)</f>
        <v>0</v>
      </c>
      <c r="P1756" s="14">
        <v>0</v>
      </c>
      <c r="Q1756" s="14">
        <v>100</v>
      </c>
    </row>
    <row r="1757" spans="1:17" ht="12.75" customHeight="1">
      <c r="A1757" s="15" t="s">
        <v>1108</v>
      </c>
      <c r="B1757" s="15"/>
      <c r="C1757" s="15"/>
      <c r="D1757" s="15"/>
      <c r="E1757" s="16" t="s">
        <v>1109</v>
      </c>
      <c r="F1757" s="17">
        <f t="shared" si="1032"/>
        <v>6192.18</v>
      </c>
      <c r="G1757" s="17">
        <f>ROUND(0,2)</f>
        <v>0</v>
      </c>
      <c r="H1757" s="17">
        <f>ROUND(0,2)</f>
        <v>0</v>
      </c>
      <c r="I1757" s="17">
        <f>ROUND(0,2)</f>
        <v>0</v>
      </c>
      <c r="J1757" s="17"/>
      <c r="K1757" s="17">
        <f>ROUND(0,2)</f>
        <v>0</v>
      </c>
      <c r="L1757" s="17"/>
      <c r="M1757" s="17">
        <f>ROUND(0,2)</f>
        <v>0</v>
      </c>
      <c r="N1757" s="17">
        <f>ROUND(0,2)</f>
        <v>0</v>
      </c>
      <c r="O1757" s="17">
        <f t="shared" si="1033"/>
        <v>0</v>
      </c>
      <c r="P1757" s="18">
        <v>100</v>
      </c>
      <c r="Q1757" s="18">
        <v>100</v>
      </c>
    </row>
    <row r="1758" spans="1:17" ht="12.75" customHeight="1">
      <c r="A1758" s="10"/>
      <c r="B1758" s="11" t="s">
        <v>1110</v>
      </c>
      <c r="C1758" s="11"/>
      <c r="D1758" s="11"/>
      <c r="E1758" s="12">
        <f>ROUND(20000,2)</f>
        <v>20000</v>
      </c>
      <c r="F1758" s="12">
        <f aca="true" t="shared" si="1034" ref="F1758:F1759">ROUND(0,2)</f>
        <v>0</v>
      </c>
      <c r="G1758" s="12">
        <f>ROUND(20000,2)</f>
        <v>20000</v>
      </c>
      <c r="H1758" s="12">
        <f>ROUND(20296.22,2)</f>
        <v>20296.22</v>
      </c>
      <c r="I1758" s="13">
        <f>ROUND(20296.22,2)</f>
        <v>20296.22</v>
      </c>
      <c r="J1758" s="13"/>
      <c r="K1758" s="13">
        <f>ROUND(8440.62,2)</f>
        <v>8440.62</v>
      </c>
      <c r="L1758" s="13"/>
      <c r="M1758" s="12">
        <f>ROUND(8440.62,2)</f>
        <v>8440.62</v>
      </c>
      <c r="N1758" s="12">
        <f>ROUND(8014.07,2)</f>
        <v>8014.07</v>
      </c>
      <c r="O1758" s="12">
        <f>ROUND(-296.22,2)</f>
        <v>-296.22</v>
      </c>
      <c r="P1758" s="14">
        <v>-1.4811</v>
      </c>
      <c r="Q1758" s="14">
        <v>42.203100000000006</v>
      </c>
    </row>
    <row r="1759" spans="1:17" ht="12.75" customHeight="1">
      <c r="A1759" s="15" t="s">
        <v>1108</v>
      </c>
      <c r="B1759" s="15"/>
      <c r="C1759" s="15"/>
      <c r="D1759" s="15"/>
      <c r="E1759" s="16" t="s">
        <v>1111</v>
      </c>
      <c r="F1759" s="17">
        <f t="shared" si="1034"/>
        <v>0</v>
      </c>
      <c r="G1759" s="17">
        <f>ROUND(0,2)</f>
        <v>0</v>
      </c>
      <c r="H1759" s="17">
        <f>ROUND(0,2)</f>
        <v>0</v>
      </c>
      <c r="I1759" s="17">
        <f>ROUND(11855.6,2)</f>
        <v>11855.6</v>
      </c>
      <c r="J1759" s="17"/>
      <c r="K1759" s="17">
        <f>ROUND(0,2)</f>
        <v>0</v>
      </c>
      <c r="L1759" s="17"/>
      <c r="M1759" s="17">
        <f>ROUND(426.550000000001,2)</f>
        <v>426.55</v>
      </c>
      <c r="N1759" s="17">
        <f>ROUND(0,2)</f>
        <v>0</v>
      </c>
      <c r="O1759" s="17">
        <f>ROUND(11559.38,2)</f>
        <v>11559.38</v>
      </c>
      <c r="P1759" s="18">
        <v>101.48110000000001</v>
      </c>
      <c r="Q1759" s="18">
        <v>94.94646127891077</v>
      </c>
    </row>
    <row r="1760" spans="1:17" ht="12.75" customHeight="1">
      <c r="A1760" s="19" t="s">
        <v>76</v>
      </c>
      <c r="B1760" s="19"/>
      <c r="C1760" s="19"/>
      <c r="D1760" s="19"/>
      <c r="E1760" s="20">
        <f>SUM('DS1'!$A$442:$A$443)</f>
        <v>20000</v>
      </c>
      <c r="F1760" s="20">
        <v>6192.18</v>
      </c>
      <c r="G1760" s="20">
        <v>26192.18</v>
      </c>
      <c r="H1760" s="20">
        <v>26488.4</v>
      </c>
      <c r="I1760" s="21">
        <v>26488.4</v>
      </c>
      <c r="J1760" s="21"/>
      <c r="K1760" s="21">
        <v>14632.8</v>
      </c>
      <c r="L1760" s="21"/>
      <c r="M1760" s="20">
        <v>14632.8</v>
      </c>
      <c r="N1760" s="20">
        <v>14206.25</v>
      </c>
      <c r="O1760" s="20">
        <v>-296.22</v>
      </c>
      <c r="P1760" s="22">
        <v>-1.1309482448578165</v>
      </c>
      <c r="Q1760" s="22">
        <v>55.86705650312421</v>
      </c>
    </row>
    <row r="1761" spans="1:17" ht="12.75" customHeight="1">
      <c r="A1761" s="23"/>
      <c r="B1761" s="24"/>
      <c r="C1761" s="24"/>
      <c r="D1761" s="24"/>
      <c r="E1761" s="23"/>
      <c r="F1761" s="20">
        <v>6192.18</v>
      </c>
      <c r="G1761" s="20">
        <v>0</v>
      </c>
      <c r="H1761" s="20">
        <v>0</v>
      </c>
      <c r="I1761" s="21">
        <v>11855.6</v>
      </c>
      <c r="J1761" s="21"/>
      <c r="K1761" s="21">
        <v>0</v>
      </c>
      <c r="L1761" s="21"/>
      <c r="M1761" s="20">
        <v>426.5500000000011</v>
      </c>
      <c r="N1761" s="20">
        <v>0</v>
      </c>
      <c r="O1761" s="20">
        <v>11559.38</v>
      </c>
      <c r="P1761" s="22">
        <v>101.13094824485782</v>
      </c>
      <c r="Q1761" s="22">
        <v>97.08497348422722</v>
      </c>
    </row>
    <row r="1762" spans="1:17" ht="20.25" customHeight="1">
      <c r="A1762" s="23"/>
      <c r="B1762" s="24"/>
      <c r="C1762" s="24"/>
      <c r="D1762" s="24"/>
      <c r="E1762" s="23"/>
      <c r="F1762" s="23"/>
      <c r="G1762" s="23"/>
      <c r="H1762" s="23"/>
      <c r="I1762" s="24"/>
      <c r="J1762" s="24"/>
      <c r="K1762" s="24"/>
      <c r="L1762" s="24"/>
      <c r="M1762" s="23"/>
      <c r="N1762" s="23"/>
      <c r="O1762" s="23"/>
      <c r="P1762" s="23"/>
      <c r="Q1762" s="23"/>
    </row>
    <row r="1763" spans="1:17" ht="12.75" customHeight="1">
      <c r="A1763" s="10"/>
      <c r="B1763" s="11" t="s">
        <v>1112</v>
      </c>
      <c r="C1763" s="11"/>
      <c r="D1763" s="11"/>
      <c r="E1763" s="12">
        <f>ROUND(10000,2)</f>
        <v>10000</v>
      </c>
      <c r="F1763" s="12">
        <f aca="true" t="shared" si="1035" ref="F1763:F1764">ROUND(0,2)</f>
        <v>0</v>
      </c>
      <c r="G1763" s="12">
        <f>ROUND(10000,2)</f>
        <v>10000</v>
      </c>
      <c r="H1763" s="12">
        <f>ROUND(4636.56,2)</f>
        <v>4636.56</v>
      </c>
      <c r="I1763" s="13">
        <f>ROUND(4636.56,2)</f>
        <v>4636.56</v>
      </c>
      <c r="J1763" s="13"/>
      <c r="K1763" s="13">
        <f>ROUND(4636.56,2)</f>
        <v>4636.56</v>
      </c>
      <c r="L1763" s="13"/>
      <c r="M1763" s="12">
        <f>ROUND(4636.56,2)</f>
        <v>4636.56</v>
      </c>
      <c r="N1763" s="12">
        <f>ROUND(3176.4,2)</f>
        <v>3176.4</v>
      </c>
      <c r="O1763" s="12">
        <f>ROUND(-12817.1,2)</f>
        <v>-12817.1</v>
      </c>
      <c r="P1763" s="14">
        <v>-128.17100000000002</v>
      </c>
      <c r="Q1763" s="14">
        <v>46.3656</v>
      </c>
    </row>
    <row r="1764" spans="1:17" ht="12.75" customHeight="1">
      <c r="A1764" s="15" t="s">
        <v>1113</v>
      </c>
      <c r="B1764" s="15"/>
      <c r="C1764" s="15"/>
      <c r="D1764" s="15"/>
      <c r="E1764" s="16" t="s">
        <v>1111</v>
      </c>
      <c r="F1764" s="17">
        <f t="shared" si="1035"/>
        <v>0</v>
      </c>
      <c r="G1764" s="17">
        <f>ROUND(18180.54,2)</f>
        <v>18180.54</v>
      </c>
      <c r="H1764" s="17">
        <f>ROUND(0,2)</f>
        <v>0</v>
      </c>
      <c r="I1764" s="17">
        <f>ROUND(0,2)</f>
        <v>0</v>
      </c>
      <c r="J1764" s="17"/>
      <c r="K1764" s="17">
        <f>ROUND(0,2)</f>
        <v>0</v>
      </c>
      <c r="L1764" s="17"/>
      <c r="M1764" s="17">
        <f>ROUND(1460.16,2)</f>
        <v>1460.16</v>
      </c>
      <c r="N1764" s="17">
        <f>ROUND(0,2)</f>
        <v>0</v>
      </c>
      <c r="O1764" s="17">
        <f>ROUND(5363.44,2)</f>
        <v>5363.44</v>
      </c>
      <c r="P1764" s="18">
        <v>46.3656</v>
      </c>
      <c r="Q1764" s="18">
        <v>68.50768673326776</v>
      </c>
    </row>
    <row r="1765" spans="1:17" ht="12.75" customHeight="1">
      <c r="A1765" s="19" t="s">
        <v>79</v>
      </c>
      <c r="B1765" s="19"/>
      <c r="C1765" s="19"/>
      <c r="D1765" s="19"/>
      <c r="E1765" s="20">
        <f>SUM('DS1'!$A$444)</f>
        <v>10000</v>
      </c>
      <c r="F1765" s="20">
        <v>0</v>
      </c>
      <c r="G1765" s="20">
        <v>10000</v>
      </c>
      <c r="H1765" s="20">
        <v>4636.56</v>
      </c>
      <c r="I1765" s="21">
        <v>4636.56</v>
      </c>
      <c r="J1765" s="21"/>
      <c r="K1765" s="21">
        <v>4636.56</v>
      </c>
      <c r="L1765" s="21"/>
      <c r="M1765" s="20">
        <v>4636.56</v>
      </c>
      <c r="N1765" s="20">
        <v>3176.4</v>
      </c>
      <c r="O1765" s="20">
        <v>-12817.1</v>
      </c>
      <c r="P1765" s="22">
        <v>-128.17100000000002</v>
      </c>
      <c r="Q1765" s="22">
        <v>46.3656</v>
      </c>
    </row>
    <row r="1766" spans="1:17" ht="12.75" customHeight="1">
      <c r="A1766" s="23"/>
      <c r="B1766" s="24"/>
      <c r="C1766" s="24"/>
      <c r="D1766" s="24"/>
      <c r="E1766" s="23"/>
      <c r="F1766" s="20">
        <v>0</v>
      </c>
      <c r="G1766" s="20">
        <v>18180.54</v>
      </c>
      <c r="H1766" s="20">
        <v>0</v>
      </c>
      <c r="I1766" s="21">
        <v>0</v>
      </c>
      <c r="J1766" s="21"/>
      <c r="K1766" s="21">
        <v>0</v>
      </c>
      <c r="L1766" s="21"/>
      <c r="M1766" s="20">
        <v>1460.1600000000003</v>
      </c>
      <c r="N1766" s="20">
        <v>0</v>
      </c>
      <c r="O1766" s="20">
        <v>5363.44</v>
      </c>
      <c r="P1766" s="22">
        <v>46.3656</v>
      </c>
      <c r="Q1766" s="22">
        <v>68.50768673326776</v>
      </c>
    </row>
    <row r="1767" spans="1:17" ht="20.25" customHeight="1">
      <c r="A1767" s="23"/>
      <c r="B1767" s="24"/>
      <c r="C1767" s="24"/>
      <c r="D1767" s="24"/>
      <c r="E1767" s="23"/>
      <c r="F1767" s="23"/>
      <c r="G1767" s="23"/>
      <c r="H1767" s="23"/>
      <c r="I1767" s="24"/>
      <c r="J1767" s="24"/>
      <c r="K1767" s="24"/>
      <c r="L1767" s="24"/>
      <c r="M1767" s="23"/>
      <c r="N1767" s="23"/>
      <c r="O1767" s="23"/>
      <c r="P1767" s="23"/>
      <c r="Q1767" s="23"/>
    </row>
    <row r="1768" spans="1:17" ht="12.75" customHeight="1">
      <c r="A1768" s="10"/>
      <c r="B1768" s="11" t="s">
        <v>1114</v>
      </c>
      <c r="C1768" s="11"/>
      <c r="D1768" s="11"/>
      <c r="E1768" s="12">
        <f>ROUND(2500,2)</f>
        <v>2500</v>
      </c>
      <c r="F1768" s="12">
        <f aca="true" t="shared" si="1036" ref="F1768:F1769">ROUND(0,2)</f>
        <v>0</v>
      </c>
      <c r="G1768" s="12">
        <f>ROUND(2500,2)</f>
        <v>2500</v>
      </c>
      <c r="H1768" s="12">
        <f>ROUND(1077.01,2)</f>
        <v>1077.01</v>
      </c>
      <c r="I1768" s="13">
        <f>ROUND(1077.01,2)</f>
        <v>1077.01</v>
      </c>
      <c r="J1768" s="13"/>
      <c r="K1768" s="13">
        <f>ROUND(1077.01,2)</f>
        <v>1077.01</v>
      </c>
      <c r="L1768" s="13"/>
      <c r="M1768" s="12">
        <f>ROUND(1077.01,2)</f>
        <v>1077.01</v>
      </c>
      <c r="N1768" s="12">
        <f>ROUND(1077.01,2)</f>
        <v>1077.01</v>
      </c>
      <c r="O1768" s="12">
        <f aca="true" t="shared" si="1037" ref="O1768:O1769">ROUND(1422.99,2)</f>
        <v>1422.99</v>
      </c>
      <c r="P1768" s="14">
        <v>56.9196</v>
      </c>
      <c r="Q1768" s="14">
        <v>43.080400000000004</v>
      </c>
    </row>
    <row r="1769" spans="1:17" ht="12.75" customHeight="1">
      <c r="A1769" s="15" t="s">
        <v>1115</v>
      </c>
      <c r="B1769" s="15"/>
      <c r="C1769" s="15"/>
      <c r="D1769" s="15"/>
      <c r="E1769" s="16" t="s">
        <v>1111</v>
      </c>
      <c r="F1769" s="17">
        <f t="shared" si="1036"/>
        <v>0</v>
      </c>
      <c r="G1769" s="17">
        <f>ROUND(0,2)</f>
        <v>0</v>
      </c>
      <c r="H1769" s="17">
        <f>ROUND(0,2)</f>
        <v>0</v>
      </c>
      <c r="I1769" s="17">
        <f>ROUND(0,2)</f>
        <v>0</v>
      </c>
      <c r="J1769" s="17"/>
      <c r="K1769" s="17">
        <f>ROUND(0,2)</f>
        <v>0</v>
      </c>
      <c r="L1769" s="17"/>
      <c r="M1769" s="17">
        <f>ROUND(0,2)</f>
        <v>0</v>
      </c>
      <c r="N1769" s="17">
        <f>ROUND(0,2)</f>
        <v>0</v>
      </c>
      <c r="O1769" s="17">
        <f t="shared" si="1037"/>
        <v>1422.99</v>
      </c>
      <c r="P1769" s="18">
        <v>43.080400000000004</v>
      </c>
      <c r="Q1769" s="18">
        <v>100</v>
      </c>
    </row>
    <row r="1770" spans="1:17" ht="12.75" customHeight="1">
      <c r="A1770" s="19" t="s">
        <v>82</v>
      </c>
      <c r="B1770" s="19"/>
      <c r="C1770" s="19"/>
      <c r="D1770" s="19"/>
      <c r="E1770" s="20">
        <f>SUM('DS1'!$A$445)</f>
        <v>2500</v>
      </c>
      <c r="F1770" s="20">
        <v>0</v>
      </c>
      <c r="G1770" s="20">
        <v>2500</v>
      </c>
      <c r="H1770" s="20">
        <v>1077.01</v>
      </c>
      <c r="I1770" s="21">
        <v>1077.01</v>
      </c>
      <c r="J1770" s="21"/>
      <c r="K1770" s="21">
        <v>1077.01</v>
      </c>
      <c r="L1770" s="21"/>
      <c r="M1770" s="20">
        <v>1077.01</v>
      </c>
      <c r="N1770" s="20">
        <v>1077.01</v>
      </c>
      <c r="O1770" s="20">
        <v>1422.99</v>
      </c>
      <c r="P1770" s="22">
        <v>56.9196</v>
      </c>
      <c r="Q1770" s="22">
        <v>43.080400000000004</v>
      </c>
    </row>
    <row r="1771" spans="1:17" ht="12.75" customHeight="1">
      <c r="A1771" s="23"/>
      <c r="B1771" s="24"/>
      <c r="C1771" s="24"/>
      <c r="D1771" s="24"/>
      <c r="E1771" s="23"/>
      <c r="F1771" s="20">
        <v>0</v>
      </c>
      <c r="G1771" s="20">
        <v>0</v>
      </c>
      <c r="H1771" s="20">
        <v>0</v>
      </c>
      <c r="I1771" s="21">
        <v>0</v>
      </c>
      <c r="J1771" s="21"/>
      <c r="K1771" s="21">
        <v>0</v>
      </c>
      <c r="L1771" s="21"/>
      <c r="M1771" s="20">
        <v>0</v>
      </c>
      <c r="N1771" s="20">
        <v>0</v>
      </c>
      <c r="O1771" s="20">
        <v>1422.99</v>
      </c>
      <c r="P1771" s="22">
        <v>43.080400000000004</v>
      </c>
      <c r="Q1771" s="22">
        <v>100</v>
      </c>
    </row>
    <row r="1772" spans="1:17" ht="20.25" customHeight="1">
      <c r="A1772" s="23"/>
      <c r="B1772" s="24"/>
      <c r="C1772" s="24"/>
      <c r="D1772" s="24"/>
      <c r="E1772" s="23"/>
      <c r="F1772" s="23"/>
      <c r="G1772" s="23"/>
      <c r="H1772" s="23"/>
      <c r="I1772" s="24"/>
      <c r="J1772" s="24"/>
      <c r="K1772" s="24"/>
      <c r="L1772" s="24"/>
      <c r="M1772" s="23"/>
      <c r="N1772" s="23"/>
      <c r="O1772" s="23"/>
      <c r="P1772" s="23"/>
      <c r="Q1772" s="23"/>
    </row>
    <row r="1773" spans="1:17" ht="12.75" customHeight="1">
      <c r="A1773" s="10"/>
      <c r="B1773" s="11" t="s">
        <v>1116</v>
      </c>
      <c r="C1773" s="11"/>
      <c r="D1773" s="11"/>
      <c r="E1773" s="12">
        <f>ROUND(325680,2)</f>
        <v>325680</v>
      </c>
      <c r="F1773" s="12">
        <f aca="true" t="shared" si="1038" ref="F1773:F1774">ROUND(0,2)</f>
        <v>0</v>
      </c>
      <c r="G1773" s="12">
        <f>ROUND(325680,2)</f>
        <v>325680</v>
      </c>
      <c r="H1773" s="12">
        <f>ROUND(219727.69,2)</f>
        <v>219727.69</v>
      </c>
      <c r="I1773" s="13">
        <f>ROUND(219727.69,2)</f>
        <v>219727.69</v>
      </c>
      <c r="J1773" s="13"/>
      <c r="K1773" s="13">
        <f>ROUND(211073.12,2)</f>
        <v>211073.12</v>
      </c>
      <c r="L1773" s="13"/>
      <c r="M1773" s="12">
        <f>ROUND(211073.12,2)</f>
        <v>211073.12</v>
      </c>
      <c r="N1773" s="12">
        <f>ROUND(124562.42,2)</f>
        <v>124562.42</v>
      </c>
      <c r="O1773" s="12">
        <f>ROUND(105952.31,2)</f>
        <v>105952.31</v>
      </c>
      <c r="P1773" s="14">
        <v>32.532642471137315</v>
      </c>
      <c r="Q1773" s="14">
        <v>64.80997297961189</v>
      </c>
    </row>
    <row r="1774" spans="1:17" ht="12.75" customHeight="1">
      <c r="A1774" s="15" t="s">
        <v>1117</v>
      </c>
      <c r="B1774" s="15"/>
      <c r="C1774" s="15"/>
      <c r="D1774" s="15"/>
      <c r="E1774" s="16" t="s">
        <v>1111</v>
      </c>
      <c r="F1774" s="17">
        <f t="shared" si="1038"/>
        <v>0</v>
      </c>
      <c r="G1774" s="17">
        <f>ROUND(0,2)</f>
        <v>0</v>
      </c>
      <c r="H1774" s="17">
        <f>ROUND(0,2)</f>
        <v>0</v>
      </c>
      <c r="I1774" s="17">
        <f>ROUND(8654.57000000001,2)</f>
        <v>8654.57</v>
      </c>
      <c r="J1774" s="17"/>
      <c r="K1774" s="17">
        <f>ROUND(0,2)</f>
        <v>0</v>
      </c>
      <c r="L1774" s="17"/>
      <c r="M1774" s="17">
        <f>ROUND(86510.7,2)</f>
        <v>86510.7</v>
      </c>
      <c r="N1774" s="17">
        <f>ROUND(0,2)</f>
        <v>0</v>
      </c>
      <c r="O1774" s="17">
        <f>ROUND(114606.88,2)</f>
        <v>114606.88</v>
      </c>
      <c r="P1774" s="18">
        <v>67.46735752886269</v>
      </c>
      <c r="Q1774" s="18">
        <v>59.013871591039155</v>
      </c>
    </row>
    <row r="1775" spans="1:17" ht="12.75" customHeight="1">
      <c r="A1775" s="19" t="s">
        <v>1118</v>
      </c>
      <c r="B1775" s="19"/>
      <c r="C1775" s="19"/>
      <c r="D1775" s="19"/>
      <c r="E1775" s="20">
        <f>SUM('DS1'!$A$446)</f>
        <v>325680</v>
      </c>
      <c r="F1775" s="20">
        <v>0</v>
      </c>
      <c r="G1775" s="20">
        <v>325680</v>
      </c>
      <c r="H1775" s="20">
        <v>219727.69</v>
      </c>
      <c r="I1775" s="21">
        <v>219727.69</v>
      </c>
      <c r="J1775" s="21"/>
      <c r="K1775" s="21">
        <v>211073.12</v>
      </c>
      <c r="L1775" s="21"/>
      <c r="M1775" s="20">
        <v>211073.12</v>
      </c>
      <c r="N1775" s="20">
        <v>124562.42</v>
      </c>
      <c r="O1775" s="20">
        <v>105952.31</v>
      </c>
      <c r="P1775" s="22">
        <v>32.532642471137315</v>
      </c>
      <c r="Q1775" s="22">
        <v>64.80997297961189</v>
      </c>
    </row>
    <row r="1776" spans="1:17" ht="12.75" customHeight="1">
      <c r="A1776" s="23"/>
      <c r="B1776" s="24"/>
      <c r="C1776" s="24"/>
      <c r="D1776" s="24"/>
      <c r="E1776" s="23"/>
      <c r="F1776" s="20">
        <v>0</v>
      </c>
      <c r="G1776" s="20">
        <v>0</v>
      </c>
      <c r="H1776" s="20">
        <v>0</v>
      </c>
      <c r="I1776" s="21">
        <v>8654.570000000007</v>
      </c>
      <c r="J1776" s="21"/>
      <c r="K1776" s="21">
        <v>0</v>
      </c>
      <c r="L1776" s="21"/>
      <c r="M1776" s="20">
        <v>86510.7</v>
      </c>
      <c r="N1776" s="20">
        <v>0</v>
      </c>
      <c r="O1776" s="20">
        <v>114606.88</v>
      </c>
      <c r="P1776" s="22">
        <v>67.46735752886269</v>
      </c>
      <c r="Q1776" s="22">
        <v>59.013871591039155</v>
      </c>
    </row>
    <row r="1777" spans="1:17" ht="20.25" customHeight="1">
      <c r="A1777" s="23"/>
      <c r="B1777" s="24"/>
      <c r="C1777" s="24"/>
      <c r="D1777" s="24"/>
      <c r="E1777" s="23"/>
      <c r="F1777" s="23"/>
      <c r="G1777" s="23"/>
      <c r="H1777" s="23"/>
      <c r="I1777" s="24"/>
      <c r="J1777" s="24"/>
      <c r="K1777" s="24"/>
      <c r="L1777" s="24"/>
      <c r="M1777" s="23"/>
      <c r="N1777" s="23"/>
      <c r="O1777" s="23"/>
      <c r="P1777" s="23"/>
      <c r="Q1777" s="23"/>
    </row>
    <row r="1778" spans="1:17" ht="12.75" customHeight="1">
      <c r="A1778" s="10"/>
      <c r="B1778" s="11" t="s">
        <v>1119</v>
      </c>
      <c r="C1778" s="11"/>
      <c r="D1778" s="11"/>
      <c r="E1778" s="12">
        <f>ROUND(25000,2)</f>
        <v>25000</v>
      </c>
      <c r="F1778" s="12">
        <f aca="true" t="shared" si="1039" ref="F1778:F1783">ROUND(0,2)</f>
        <v>0</v>
      </c>
      <c r="G1778" s="12">
        <f>ROUND(25000,2)</f>
        <v>25000</v>
      </c>
      <c r="H1778" s="12">
        <f>ROUND(13787.67,2)</f>
        <v>13787.67</v>
      </c>
      <c r="I1778" s="13">
        <f>ROUND(13787.67,2)</f>
        <v>13787.67</v>
      </c>
      <c r="J1778" s="13"/>
      <c r="K1778" s="13">
        <f>ROUND(13787.67,2)</f>
        <v>13787.67</v>
      </c>
      <c r="L1778" s="13"/>
      <c r="M1778" s="12">
        <f>ROUND(13787.67,2)</f>
        <v>13787.67</v>
      </c>
      <c r="N1778" s="12">
        <f>ROUND(13787.67,2)</f>
        <v>13787.67</v>
      </c>
      <c r="O1778" s="12">
        <f aca="true" t="shared" si="1040" ref="O1778:O1779">ROUND(11212.33,2)</f>
        <v>11212.33</v>
      </c>
      <c r="P1778" s="14">
        <v>44.84932</v>
      </c>
      <c r="Q1778" s="14">
        <v>55.150679999999994</v>
      </c>
    </row>
    <row r="1779" spans="1:17" ht="12.75" customHeight="1">
      <c r="A1779" s="15" t="s">
        <v>1120</v>
      </c>
      <c r="B1779" s="15"/>
      <c r="C1779" s="15"/>
      <c r="D1779" s="15"/>
      <c r="E1779" s="16" t="s">
        <v>1121</v>
      </c>
      <c r="F1779" s="17">
        <f t="shared" si="1039"/>
        <v>0</v>
      </c>
      <c r="G1779" s="17">
        <f>ROUND(0,2)</f>
        <v>0</v>
      </c>
      <c r="H1779" s="17">
        <f>ROUND(0,2)</f>
        <v>0</v>
      </c>
      <c r="I1779" s="17">
        <f>ROUND(0,2)</f>
        <v>0</v>
      </c>
      <c r="J1779" s="17"/>
      <c r="K1779" s="17">
        <f>ROUND(0,2)</f>
        <v>0</v>
      </c>
      <c r="L1779" s="17"/>
      <c r="M1779" s="17">
        <f>ROUND(0,2)</f>
        <v>0</v>
      </c>
      <c r="N1779" s="17">
        <f>ROUND(0,2)</f>
        <v>0</v>
      </c>
      <c r="O1779" s="17">
        <f t="shared" si="1040"/>
        <v>11212.33</v>
      </c>
      <c r="P1779" s="18">
        <v>55.150679999999994</v>
      </c>
      <c r="Q1779" s="18">
        <v>100</v>
      </c>
    </row>
    <row r="1780" spans="1:17" ht="12.75" customHeight="1">
      <c r="A1780" s="10"/>
      <c r="B1780" s="11" t="s">
        <v>1122</v>
      </c>
      <c r="C1780" s="11"/>
      <c r="D1780" s="11"/>
      <c r="E1780" s="12">
        <f>ROUND(30000,2)</f>
        <v>30000</v>
      </c>
      <c r="F1780" s="12">
        <f t="shared" si="1039"/>
        <v>0</v>
      </c>
      <c r="G1780" s="12">
        <f>ROUND(30000,2)</f>
        <v>30000</v>
      </c>
      <c r="H1780" s="12">
        <f>ROUND(24496.36,2)</f>
        <v>24496.36</v>
      </c>
      <c r="I1780" s="13">
        <f>ROUND(24496.36,2)</f>
        <v>24496.36</v>
      </c>
      <c r="J1780" s="13"/>
      <c r="K1780" s="13">
        <f>ROUND(24496.36,2)</f>
        <v>24496.36</v>
      </c>
      <c r="L1780" s="13"/>
      <c r="M1780" s="12">
        <f>ROUND(24496.36,2)</f>
        <v>24496.36</v>
      </c>
      <c r="N1780" s="12">
        <f>ROUND(21648.82,2)</f>
        <v>21648.82</v>
      </c>
      <c r="O1780" s="12">
        <f>ROUND(5503.64,2)</f>
        <v>5503.64</v>
      </c>
      <c r="P1780" s="14">
        <v>18.345466666666667</v>
      </c>
      <c r="Q1780" s="14">
        <v>81.65453333333333</v>
      </c>
    </row>
    <row r="1781" spans="1:17" ht="12.75" customHeight="1">
      <c r="A1781" s="15" t="s">
        <v>1123</v>
      </c>
      <c r="B1781" s="15"/>
      <c r="C1781" s="15"/>
      <c r="D1781" s="15"/>
      <c r="E1781" s="16" t="s">
        <v>1121</v>
      </c>
      <c r="F1781" s="17">
        <f t="shared" si="1039"/>
        <v>0</v>
      </c>
      <c r="G1781" s="17">
        <f>ROUND(0,2)</f>
        <v>0</v>
      </c>
      <c r="H1781" s="17">
        <f>ROUND(0,2)</f>
        <v>0</v>
      </c>
      <c r="I1781" s="17">
        <f>ROUND(0,2)</f>
        <v>0</v>
      </c>
      <c r="J1781" s="17"/>
      <c r="K1781" s="17">
        <f>ROUND(0,2)</f>
        <v>0</v>
      </c>
      <c r="L1781" s="17"/>
      <c r="M1781" s="17">
        <f>ROUND(2847.54,2)</f>
        <v>2847.54</v>
      </c>
      <c r="N1781" s="17">
        <f>ROUND(0,2)</f>
        <v>0</v>
      </c>
      <c r="O1781" s="17">
        <f>ROUND(5503.64,2)</f>
        <v>5503.64</v>
      </c>
      <c r="P1781" s="18">
        <v>81.65453333333333</v>
      </c>
      <c r="Q1781" s="18">
        <v>88.37566071040759</v>
      </c>
    </row>
    <row r="1782" spans="1:17" ht="12.75" customHeight="1">
      <c r="A1782" s="10"/>
      <c r="B1782" s="11" t="s">
        <v>1124</v>
      </c>
      <c r="C1782" s="11"/>
      <c r="D1782" s="11"/>
      <c r="E1782" s="12">
        <f>ROUND(10000,2)</f>
        <v>10000</v>
      </c>
      <c r="F1782" s="12">
        <f t="shared" si="1039"/>
        <v>0</v>
      </c>
      <c r="G1782" s="12">
        <f>ROUND(10000,2)</f>
        <v>10000</v>
      </c>
      <c r="H1782" s="12">
        <f>ROUND(14494.28,2)</f>
        <v>14494.28</v>
      </c>
      <c r="I1782" s="13">
        <f>ROUND(14494.28,2)</f>
        <v>14494.28</v>
      </c>
      <c r="J1782" s="13"/>
      <c r="K1782" s="13">
        <f>ROUND(14494.28,2)</f>
        <v>14494.28</v>
      </c>
      <c r="L1782" s="13"/>
      <c r="M1782" s="12">
        <f>ROUND(14494.28,2)</f>
        <v>14494.28</v>
      </c>
      <c r="N1782" s="12">
        <f>ROUND(14494.28,2)</f>
        <v>14494.28</v>
      </c>
      <c r="O1782" s="12">
        <f>ROUND(-4494.28,2)</f>
        <v>-4494.28</v>
      </c>
      <c r="P1782" s="14">
        <v>-44.9428</v>
      </c>
      <c r="Q1782" s="14">
        <v>144.9428</v>
      </c>
    </row>
    <row r="1783" spans="1:17" ht="12.75" customHeight="1">
      <c r="A1783" s="15" t="s">
        <v>1125</v>
      </c>
      <c r="B1783" s="15"/>
      <c r="C1783" s="15"/>
      <c r="D1783" s="15"/>
      <c r="E1783" s="16" t="s">
        <v>1121</v>
      </c>
      <c r="F1783" s="17">
        <f t="shared" si="1039"/>
        <v>0</v>
      </c>
      <c r="G1783" s="17">
        <f>ROUND(0,2)</f>
        <v>0</v>
      </c>
      <c r="H1783" s="17">
        <f>ROUND(0,2)</f>
        <v>0</v>
      </c>
      <c r="I1783" s="17">
        <f>ROUND(0,2)</f>
        <v>0</v>
      </c>
      <c r="J1783" s="17"/>
      <c r="K1783" s="17">
        <f>ROUND(0,2)</f>
        <v>0</v>
      </c>
      <c r="L1783" s="17"/>
      <c r="M1783" s="17">
        <f>ROUND(0,2)</f>
        <v>0</v>
      </c>
      <c r="N1783" s="17">
        <f>ROUND(0,2)</f>
        <v>0</v>
      </c>
      <c r="O1783" s="17">
        <f>ROUND(-4494.28,2)</f>
        <v>-4494.28</v>
      </c>
      <c r="P1783" s="18">
        <v>144.9428</v>
      </c>
      <c r="Q1783" s="18">
        <v>100</v>
      </c>
    </row>
    <row r="1784" spans="1:17" ht="12.75" customHeight="1">
      <c r="A1784" s="19" t="s">
        <v>500</v>
      </c>
      <c r="B1784" s="19"/>
      <c r="C1784" s="19"/>
      <c r="D1784" s="19"/>
      <c r="E1784" s="20">
        <f>SUM('DS1'!$A$447:$A$449)</f>
        <v>65000</v>
      </c>
      <c r="F1784" s="20">
        <v>0</v>
      </c>
      <c r="G1784" s="20">
        <v>65000</v>
      </c>
      <c r="H1784" s="20">
        <v>52778.31</v>
      </c>
      <c r="I1784" s="21">
        <v>52778.31</v>
      </c>
      <c r="J1784" s="21"/>
      <c r="K1784" s="21">
        <v>52778.31</v>
      </c>
      <c r="L1784" s="21"/>
      <c r="M1784" s="20">
        <v>52778.31</v>
      </c>
      <c r="N1784" s="20">
        <v>49930.77</v>
      </c>
      <c r="O1784" s="20">
        <v>12221.69</v>
      </c>
      <c r="P1784" s="22">
        <v>18.802599999999998</v>
      </c>
      <c r="Q1784" s="22">
        <v>81.1974</v>
      </c>
    </row>
    <row r="1785" spans="1:17" ht="12.75" customHeight="1">
      <c r="A1785" s="23"/>
      <c r="B1785" s="24"/>
      <c r="C1785" s="24"/>
      <c r="D1785" s="24"/>
      <c r="E1785" s="23"/>
      <c r="F1785" s="20">
        <v>0</v>
      </c>
      <c r="G1785" s="20">
        <v>0</v>
      </c>
      <c r="H1785" s="20">
        <v>0</v>
      </c>
      <c r="I1785" s="21">
        <v>0</v>
      </c>
      <c r="J1785" s="21"/>
      <c r="K1785" s="21">
        <v>0</v>
      </c>
      <c r="L1785" s="21"/>
      <c r="M1785" s="20">
        <v>2847.540000000001</v>
      </c>
      <c r="N1785" s="20">
        <v>0</v>
      </c>
      <c r="O1785" s="20">
        <v>12221.69</v>
      </c>
      <c r="P1785" s="22">
        <v>81.1974</v>
      </c>
      <c r="Q1785" s="22">
        <v>94.60471545981673</v>
      </c>
    </row>
    <row r="1786" spans="1:17" ht="20.25" customHeight="1">
      <c r="A1786" s="23"/>
      <c r="B1786" s="24"/>
      <c r="C1786" s="24"/>
      <c r="D1786" s="24"/>
      <c r="E1786" s="23"/>
      <c r="F1786" s="23"/>
      <c r="G1786" s="23"/>
      <c r="H1786" s="23"/>
      <c r="I1786" s="24"/>
      <c r="J1786" s="24"/>
      <c r="K1786" s="24"/>
      <c r="L1786" s="24"/>
      <c r="M1786" s="23"/>
      <c r="N1786" s="23"/>
      <c r="O1786" s="23"/>
      <c r="P1786" s="23"/>
      <c r="Q1786" s="23"/>
    </row>
    <row r="1787" spans="1:17" ht="12.75" customHeight="1">
      <c r="A1787" s="10"/>
      <c r="B1787" s="11" t="s">
        <v>1126</v>
      </c>
      <c r="C1787" s="11"/>
      <c r="D1787" s="11"/>
      <c r="E1787" s="12">
        <f>ROUND(165000,2)</f>
        <v>165000</v>
      </c>
      <c r="F1787" s="12">
        <f aca="true" t="shared" si="1041" ref="F1787:F1796">ROUND(0,2)</f>
        <v>0</v>
      </c>
      <c r="G1787" s="12">
        <f>ROUND(165000,2)</f>
        <v>165000</v>
      </c>
      <c r="H1787" s="12">
        <f>ROUND(96846.46,2)</f>
        <v>96846.46</v>
      </c>
      <c r="I1787" s="13">
        <f>ROUND(96846.46,2)</f>
        <v>96846.46</v>
      </c>
      <c r="J1787" s="13"/>
      <c r="K1787" s="13">
        <f>ROUND(63640.81,2)</f>
        <v>63640.81</v>
      </c>
      <c r="L1787" s="13"/>
      <c r="M1787" s="12">
        <f>ROUND(63640.81,2)</f>
        <v>63640.81</v>
      </c>
      <c r="N1787" s="12">
        <f>ROUND(63464.66,2)</f>
        <v>63464.66</v>
      </c>
      <c r="O1787" s="12">
        <f>ROUND(68153.54,2)</f>
        <v>68153.54</v>
      </c>
      <c r="P1787" s="14">
        <v>41.30517575757575</v>
      </c>
      <c r="Q1787" s="14">
        <v>38.57018787878788</v>
      </c>
    </row>
    <row r="1788" spans="1:17" ht="12.75" customHeight="1">
      <c r="A1788" s="15" t="s">
        <v>1127</v>
      </c>
      <c r="B1788" s="15"/>
      <c r="C1788" s="15"/>
      <c r="D1788" s="15"/>
      <c r="E1788" s="16" t="s">
        <v>1121</v>
      </c>
      <c r="F1788" s="17">
        <f t="shared" si="1041"/>
        <v>0</v>
      </c>
      <c r="G1788" s="17">
        <f>ROUND(0,2)</f>
        <v>0</v>
      </c>
      <c r="H1788" s="17">
        <f>ROUND(0,2)</f>
        <v>0</v>
      </c>
      <c r="I1788" s="17">
        <f>ROUND(33205.65,2)</f>
        <v>33205.65</v>
      </c>
      <c r="J1788" s="17"/>
      <c r="K1788" s="17">
        <f>ROUND(0,2)</f>
        <v>0</v>
      </c>
      <c r="L1788" s="17"/>
      <c r="M1788" s="17">
        <f>ROUND(176.149999999994,2)</f>
        <v>176.15</v>
      </c>
      <c r="N1788" s="17">
        <f>ROUND(0,2)</f>
        <v>0</v>
      </c>
      <c r="O1788" s="17">
        <f>ROUND(101359.19,2)</f>
        <v>101359.19</v>
      </c>
      <c r="P1788" s="18">
        <v>58.69482424242425</v>
      </c>
      <c r="Q1788" s="18">
        <v>99.7232121967021</v>
      </c>
    </row>
    <row r="1789" spans="1:17" ht="12.75" customHeight="1">
      <c r="A1789" s="10"/>
      <c r="B1789" s="11" t="s">
        <v>1128</v>
      </c>
      <c r="C1789" s="11"/>
      <c r="D1789" s="11"/>
      <c r="E1789" s="12">
        <f>ROUND(5000,2)</f>
        <v>5000</v>
      </c>
      <c r="F1789" s="12">
        <f t="shared" si="1041"/>
        <v>0</v>
      </c>
      <c r="G1789" s="12">
        <f>ROUND(5000,2)</f>
        <v>5000</v>
      </c>
      <c r="H1789" s="12">
        <f>ROUND(2334.09,2)</f>
        <v>2334.09</v>
      </c>
      <c r="I1789" s="13">
        <f>ROUND(2334.09,2)</f>
        <v>2334.09</v>
      </c>
      <c r="J1789" s="13"/>
      <c r="K1789" s="13">
        <f>ROUND(2334.09,2)</f>
        <v>2334.09</v>
      </c>
      <c r="L1789" s="13"/>
      <c r="M1789" s="12">
        <f>ROUND(2334.09,2)</f>
        <v>2334.09</v>
      </c>
      <c r="N1789" s="12">
        <f>ROUND(2334.09,2)</f>
        <v>2334.09</v>
      </c>
      <c r="O1789" s="12">
        <f aca="true" t="shared" si="1042" ref="O1789:O1790">ROUND(2665.91,2)</f>
        <v>2665.91</v>
      </c>
      <c r="P1789" s="14">
        <v>53.31819999999999</v>
      </c>
      <c r="Q1789" s="14">
        <v>46.6818</v>
      </c>
    </row>
    <row r="1790" spans="1:17" ht="12.75" customHeight="1">
      <c r="A1790" s="15" t="s">
        <v>1129</v>
      </c>
      <c r="B1790" s="15"/>
      <c r="C1790" s="15"/>
      <c r="D1790" s="15"/>
      <c r="E1790" s="16" t="s">
        <v>1121</v>
      </c>
      <c r="F1790" s="17">
        <f t="shared" si="1041"/>
        <v>0</v>
      </c>
      <c r="G1790" s="17">
        <f>ROUND(0,2)</f>
        <v>0</v>
      </c>
      <c r="H1790" s="17">
        <f>ROUND(0,2)</f>
        <v>0</v>
      </c>
      <c r="I1790" s="17">
        <f>ROUND(0,2)</f>
        <v>0</v>
      </c>
      <c r="J1790" s="17"/>
      <c r="K1790" s="17">
        <f>ROUND(0,2)</f>
        <v>0</v>
      </c>
      <c r="L1790" s="17"/>
      <c r="M1790" s="17">
        <f>ROUND(0,2)</f>
        <v>0</v>
      </c>
      <c r="N1790" s="17">
        <f>ROUND(0,2)</f>
        <v>0</v>
      </c>
      <c r="O1790" s="17">
        <f t="shared" si="1042"/>
        <v>2665.91</v>
      </c>
      <c r="P1790" s="18">
        <v>46.6818</v>
      </c>
      <c r="Q1790" s="18">
        <v>100</v>
      </c>
    </row>
    <row r="1791" spans="1:17" ht="12.75" customHeight="1">
      <c r="A1791" s="10"/>
      <c r="B1791" s="11" t="s">
        <v>1130</v>
      </c>
      <c r="C1791" s="11"/>
      <c r="D1791" s="11"/>
      <c r="E1791" s="12">
        <f>ROUND(10000,2)</f>
        <v>10000</v>
      </c>
      <c r="F1791" s="12">
        <f t="shared" si="1041"/>
        <v>0</v>
      </c>
      <c r="G1791" s="12">
        <f>ROUND(10000,2)</f>
        <v>10000</v>
      </c>
      <c r="H1791" s="12">
        <f>ROUND(462.5,2)</f>
        <v>462.5</v>
      </c>
      <c r="I1791" s="13">
        <f>ROUND(462.5,2)</f>
        <v>462.5</v>
      </c>
      <c r="J1791" s="13"/>
      <c r="K1791" s="13">
        <f>ROUND(462.5,2)</f>
        <v>462.5</v>
      </c>
      <c r="L1791" s="13"/>
      <c r="M1791" s="12">
        <f>ROUND(462.5,2)</f>
        <v>462.5</v>
      </c>
      <c r="N1791" s="12">
        <f>ROUND(462.5,2)</f>
        <v>462.5</v>
      </c>
      <c r="O1791" s="12">
        <f aca="true" t="shared" si="1043" ref="O1791:O1792">ROUND(9537.5,2)</f>
        <v>9537.5</v>
      </c>
      <c r="P1791" s="14">
        <v>95.375</v>
      </c>
      <c r="Q1791" s="14">
        <v>4.625</v>
      </c>
    </row>
    <row r="1792" spans="1:17" ht="12.75" customHeight="1">
      <c r="A1792" s="15" t="s">
        <v>1131</v>
      </c>
      <c r="B1792" s="15"/>
      <c r="C1792" s="15"/>
      <c r="D1792" s="15"/>
      <c r="E1792" s="16" t="s">
        <v>1121</v>
      </c>
      <c r="F1792" s="17">
        <f t="shared" si="1041"/>
        <v>0</v>
      </c>
      <c r="G1792" s="17">
        <f>ROUND(0,2)</f>
        <v>0</v>
      </c>
      <c r="H1792" s="17">
        <f>ROUND(0,2)</f>
        <v>0</v>
      </c>
      <c r="I1792" s="17">
        <f>ROUND(0,2)</f>
        <v>0</v>
      </c>
      <c r="J1792" s="17"/>
      <c r="K1792" s="17">
        <f>ROUND(0,2)</f>
        <v>0</v>
      </c>
      <c r="L1792" s="17"/>
      <c r="M1792" s="17">
        <f>ROUND(0,2)</f>
        <v>0</v>
      </c>
      <c r="N1792" s="17">
        <f>ROUND(0,2)</f>
        <v>0</v>
      </c>
      <c r="O1792" s="17">
        <f t="shared" si="1043"/>
        <v>9537.5</v>
      </c>
      <c r="P1792" s="18">
        <v>4.625</v>
      </c>
      <c r="Q1792" s="18">
        <v>100</v>
      </c>
    </row>
    <row r="1793" spans="1:17" ht="12.75" customHeight="1">
      <c r="A1793" s="10"/>
      <c r="B1793" s="11" t="s">
        <v>1132</v>
      </c>
      <c r="C1793" s="11"/>
      <c r="D1793" s="11"/>
      <c r="E1793" s="12">
        <f>ROUND(60000,2)</f>
        <v>60000</v>
      </c>
      <c r="F1793" s="12">
        <f t="shared" si="1041"/>
        <v>0</v>
      </c>
      <c r="G1793" s="12">
        <f>ROUND(60000,2)</f>
        <v>60000</v>
      </c>
      <c r="H1793" s="12">
        <f>ROUND(35971.53,2)</f>
        <v>35971.53</v>
      </c>
      <c r="I1793" s="13">
        <f>ROUND(35971.53,2)</f>
        <v>35971.53</v>
      </c>
      <c r="J1793" s="13"/>
      <c r="K1793" s="13">
        <f>ROUND(35971.53,2)</f>
        <v>35971.53</v>
      </c>
      <c r="L1793" s="13"/>
      <c r="M1793" s="12">
        <f>ROUND(35971.53,2)</f>
        <v>35971.53</v>
      </c>
      <c r="N1793" s="12">
        <f>ROUND(35971.53,2)</f>
        <v>35971.53</v>
      </c>
      <c r="O1793" s="12">
        <f aca="true" t="shared" si="1044" ref="O1793:O1794">ROUND(24028.47,2)</f>
        <v>24028.47</v>
      </c>
      <c r="P1793" s="14">
        <v>40.04745</v>
      </c>
      <c r="Q1793" s="14">
        <v>59.952549999999995</v>
      </c>
    </row>
    <row r="1794" spans="1:17" ht="12.75" customHeight="1">
      <c r="A1794" s="15" t="s">
        <v>1133</v>
      </c>
      <c r="B1794" s="15"/>
      <c r="C1794" s="15"/>
      <c r="D1794" s="15"/>
      <c r="E1794" s="16" t="s">
        <v>1121</v>
      </c>
      <c r="F1794" s="17">
        <f t="shared" si="1041"/>
        <v>0</v>
      </c>
      <c r="G1794" s="17">
        <f>ROUND(0,2)</f>
        <v>0</v>
      </c>
      <c r="H1794" s="17">
        <f>ROUND(0,2)</f>
        <v>0</v>
      </c>
      <c r="I1794" s="17">
        <f>ROUND(0,2)</f>
        <v>0</v>
      </c>
      <c r="J1794" s="17"/>
      <c r="K1794" s="17">
        <f>ROUND(0,2)</f>
        <v>0</v>
      </c>
      <c r="L1794" s="17"/>
      <c r="M1794" s="17">
        <f>ROUND(0,2)</f>
        <v>0</v>
      </c>
      <c r="N1794" s="17">
        <f>ROUND(0,2)</f>
        <v>0</v>
      </c>
      <c r="O1794" s="17">
        <f t="shared" si="1044"/>
        <v>24028.47</v>
      </c>
      <c r="P1794" s="18">
        <v>59.952549999999995</v>
      </c>
      <c r="Q1794" s="18">
        <v>100</v>
      </c>
    </row>
    <row r="1795" spans="1:17" ht="12.75" customHeight="1">
      <c r="A1795" s="10"/>
      <c r="B1795" s="11" t="s">
        <v>1134</v>
      </c>
      <c r="C1795" s="11"/>
      <c r="D1795" s="11"/>
      <c r="E1795" s="12">
        <f>ROUND(100000,2)</f>
        <v>100000</v>
      </c>
      <c r="F1795" s="12">
        <f t="shared" si="1041"/>
        <v>0</v>
      </c>
      <c r="G1795" s="12">
        <f>ROUND(100000,2)</f>
        <v>100000</v>
      </c>
      <c r="H1795" s="12">
        <f>ROUND(136594.2,2)</f>
        <v>136594.2</v>
      </c>
      <c r="I1795" s="13">
        <f>ROUND(136594.2,2)</f>
        <v>136594.2</v>
      </c>
      <c r="J1795" s="13"/>
      <c r="K1795" s="13">
        <f>ROUND(136594.2,2)</f>
        <v>136594.2</v>
      </c>
      <c r="L1795" s="13"/>
      <c r="M1795" s="12">
        <f>ROUND(136594.2,2)</f>
        <v>136594.2</v>
      </c>
      <c r="N1795" s="12">
        <f>ROUND(129975.25,2)</f>
        <v>129975.25</v>
      </c>
      <c r="O1795" s="12">
        <f>ROUND(-36594.2,2)</f>
        <v>-36594.2</v>
      </c>
      <c r="P1795" s="14">
        <v>-36.5942</v>
      </c>
      <c r="Q1795" s="14">
        <v>136.59420000000003</v>
      </c>
    </row>
    <row r="1796" spans="1:17" ht="12.75" customHeight="1">
      <c r="A1796" s="15" t="s">
        <v>1135</v>
      </c>
      <c r="B1796" s="15"/>
      <c r="C1796" s="15"/>
      <c r="D1796" s="15"/>
      <c r="E1796" s="16" t="s">
        <v>1121</v>
      </c>
      <c r="F1796" s="17">
        <f t="shared" si="1041"/>
        <v>0</v>
      </c>
      <c r="G1796" s="17">
        <f>ROUND(0,2)</f>
        <v>0</v>
      </c>
      <c r="H1796" s="17">
        <f>ROUND(0,2)</f>
        <v>0</v>
      </c>
      <c r="I1796" s="17">
        <f>ROUND(0,2)</f>
        <v>0</v>
      </c>
      <c r="J1796" s="17"/>
      <c r="K1796" s="17">
        <f>ROUND(0,2)</f>
        <v>0</v>
      </c>
      <c r="L1796" s="17"/>
      <c r="M1796" s="17">
        <f>ROUND(6618.95000000001,2)</f>
        <v>6618.95</v>
      </c>
      <c r="N1796" s="17">
        <f>ROUND(0,2)</f>
        <v>0</v>
      </c>
      <c r="O1796" s="17">
        <f>ROUND(-36594.2,2)</f>
        <v>-36594.2</v>
      </c>
      <c r="P1796" s="18">
        <v>136.59420000000003</v>
      </c>
      <c r="Q1796" s="18">
        <v>95.15429644889753</v>
      </c>
    </row>
    <row r="1797" spans="1:17" ht="12.75" customHeight="1">
      <c r="A1797" s="19" t="s">
        <v>92</v>
      </c>
      <c r="B1797" s="19"/>
      <c r="C1797" s="19"/>
      <c r="D1797" s="19"/>
      <c r="E1797" s="20">
        <f>SUM('DS1'!$A$450:$A$454)</f>
        <v>340000</v>
      </c>
      <c r="F1797" s="20">
        <v>0</v>
      </c>
      <c r="G1797" s="20">
        <v>340000</v>
      </c>
      <c r="H1797" s="20">
        <v>272208.78</v>
      </c>
      <c r="I1797" s="21">
        <v>272208.78</v>
      </c>
      <c r="J1797" s="21"/>
      <c r="K1797" s="21">
        <v>239003.13</v>
      </c>
      <c r="L1797" s="21"/>
      <c r="M1797" s="20">
        <v>239003.13</v>
      </c>
      <c r="N1797" s="20">
        <v>232208.03</v>
      </c>
      <c r="O1797" s="20">
        <v>67791.22</v>
      </c>
      <c r="P1797" s="22">
        <v>19.93859411764706</v>
      </c>
      <c r="Q1797" s="22">
        <v>70.29503823529411</v>
      </c>
    </row>
    <row r="1798" spans="1:17" ht="12.75" customHeight="1">
      <c r="A1798" s="23"/>
      <c r="B1798" s="24"/>
      <c r="C1798" s="24"/>
      <c r="D1798" s="24"/>
      <c r="E1798" s="23"/>
      <c r="F1798" s="20">
        <v>0</v>
      </c>
      <c r="G1798" s="20">
        <v>0</v>
      </c>
      <c r="H1798" s="20">
        <v>0</v>
      </c>
      <c r="I1798" s="21">
        <v>33205.65000000001</v>
      </c>
      <c r="J1798" s="21"/>
      <c r="K1798" s="21">
        <v>0</v>
      </c>
      <c r="L1798" s="21"/>
      <c r="M1798" s="20">
        <v>6795.100000000006</v>
      </c>
      <c r="N1798" s="20">
        <v>0</v>
      </c>
      <c r="O1798" s="20">
        <v>100996.87</v>
      </c>
      <c r="P1798" s="22">
        <v>80.06140588235296</v>
      </c>
      <c r="Q1798" s="22">
        <v>97.15689915860098</v>
      </c>
    </row>
    <row r="1799" spans="1:17" ht="20.25" customHeight="1">
      <c r="A1799" s="23"/>
      <c r="B1799" s="24"/>
      <c r="C1799" s="24"/>
      <c r="D1799" s="24"/>
      <c r="E1799" s="23"/>
      <c r="F1799" s="23"/>
      <c r="G1799" s="23"/>
      <c r="H1799" s="23"/>
      <c r="I1799" s="24"/>
      <c r="J1799" s="24"/>
      <c r="K1799" s="24"/>
      <c r="L1799" s="24"/>
      <c r="M1799" s="23"/>
      <c r="N1799" s="23"/>
      <c r="O1799" s="23"/>
      <c r="P1799" s="23"/>
      <c r="Q1799" s="23"/>
    </row>
    <row r="1800" spans="1:17" ht="12.75" customHeight="1">
      <c r="A1800" s="10"/>
      <c r="B1800" s="11" t="s">
        <v>1136</v>
      </c>
      <c r="C1800" s="11"/>
      <c r="D1800" s="11"/>
      <c r="E1800" s="12">
        <f>ROUND(65000,2)</f>
        <v>65000</v>
      </c>
      <c r="F1800" s="12">
        <f aca="true" t="shared" si="1045" ref="F1800:F1803">ROUND(0,2)</f>
        <v>0</v>
      </c>
      <c r="G1800" s="12">
        <f>ROUND(65000,2)</f>
        <v>65000</v>
      </c>
      <c r="H1800" s="12">
        <f>ROUND(56962.49,2)</f>
        <v>56962.49</v>
      </c>
      <c r="I1800" s="13">
        <f>ROUND(56962.49,2)</f>
        <v>56962.49</v>
      </c>
      <c r="J1800" s="13"/>
      <c r="K1800" s="13">
        <f>ROUND(56962.49,2)</f>
        <v>56962.49</v>
      </c>
      <c r="L1800" s="13"/>
      <c r="M1800" s="12">
        <f>ROUND(56962.49,2)</f>
        <v>56962.49</v>
      </c>
      <c r="N1800" s="12">
        <f>ROUND(56962.49,2)</f>
        <v>56962.49</v>
      </c>
      <c r="O1800" s="12">
        <f>ROUND(8037.51,2)</f>
        <v>8037.51</v>
      </c>
      <c r="P1800" s="14">
        <v>12.3654</v>
      </c>
      <c r="Q1800" s="14">
        <v>87.63459999999999</v>
      </c>
    </row>
    <row r="1801" spans="1:17" ht="12.75" customHeight="1">
      <c r="A1801" s="15" t="s">
        <v>1137</v>
      </c>
      <c r="B1801" s="15"/>
      <c r="C1801" s="15"/>
      <c r="D1801" s="15"/>
      <c r="E1801" s="16" t="s">
        <v>1121</v>
      </c>
      <c r="F1801" s="17">
        <f t="shared" si="1045"/>
        <v>0</v>
      </c>
      <c r="G1801" s="17">
        <f>ROUND(0,2)</f>
        <v>0</v>
      </c>
      <c r="H1801" s="17">
        <f>ROUND(0,2)</f>
        <v>0</v>
      </c>
      <c r="I1801" s="17">
        <f>ROUND(0,2)</f>
        <v>0</v>
      </c>
      <c r="J1801" s="17"/>
      <c r="K1801" s="17">
        <f>ROUND(0,2)</f>
        <v>0</v>
      </c>
      <c r="L1801" s="17"/>
      <c r="M1801" s="17">
        <f>ROUND(0,2)</f>
        <v>0</v>
      </c>
      <c r="N1801" s="17">
        <f>ROUND(0,2)</f>
        <v>0</v>
      </c>
      <c r="O1801" s="17">
        <f>ROUND(8037.51,2)</f>
        <v>8037.51</v>
      </c>
      <c r="P1801" s="18">
        <v>87.63459999999999</v>
      </c>
      <c r="Q1801" s="18">
        <v>100</v>
      </c>
    </row>
    <row r="1802" spans="1:17" ht="12.75" customHeight="1">
      <c r="A1802" s="10"/>
      <c r="B1802" s="11" t="s">
        <v>1138</v>
      </c>
      <c r="C1802" s="11"/>
      <c r="D1802" s="11"/>
      <c r="E1802" s="12">
        <f>ROUND(167000,2)</f>
        <v>167000</v>
      </c>
      <c r="F1802" s="12">
        <f t="shared" si="1045"/>
        <v>0</v>
      </c>
      <c r="G1802" s="12">
        <f>ROUND(167000,2)</f>
        <v>167000</v>
      </c>
      <c r="H1802" s="12">
        <f>ROUND(173339.64,2)</f>
        <v>173339.64</v>
      </c>
      <c r="I1802" s="13">
        <f>ROUND(173339.64,2)</f>
        <v>173339.64</v>
      </c>
      <c r="J1802" s="13"/>
      <c r="K1802" s="13">
        <f>ROUND(173339.64,2)</f>
        <v>173339.64</v>
      </c>
      <c r="L1802" s="13"/>
      <c r="M1802" s="12">
        <f>ROUND(173339.64,2)</f>
        <v>173339.64</v>
      </c>
      <c r="N1802" s="12">
        <f>ROUND(173339.64,2)</f>
        <v>173339.64</v>
      </c>
      <c r="O1802" s="12">
        <f>ROUND(-6339.64,2)</f>
        <v>-6339.64</v>
      </c>
      <c r="P1802" s="14">
        <v>-3.796191616766467</v>
      </c>
      <c r="Q1802" s="14">
        <v>103.79619161676648</v>
      </c>
    </row>
    <row r="1803" spans="1:17" ht="12.75" customHeight="1">
      <c r="A1803" s="15" t="s">
        <v>1139</v>
      </c>
      <c r="B1803" s="15"/>
      <c r="C1803" s="15"/>
      <c r="D1803" s="15"/>
      <c r="E1803" s="16" t="s">
        <v>1121</v>
      </c>
      <c r="F1803" s="17">
        <f t="shared" si="1045"/>
        <v>0</v>
      </c>
      <c r="G1803" s="17">
        <f>ROUND(0,2)</f>
        <v>0</v>
      </c>
      <c r="H1803" s="17">
        <f>ROUND(0,2)</f>
        <v>0</v>
      </c>
      <c r="I1803" s="17">
        <f>ROUND(0,2)</f>
        <v>0</v>
      </c>
      <c r="J1803" s="17"/>
      <c r="K1803" s="17">
        <f>ROUND(0,2)</f>
        <v>0</v>
      </c>
      <c r="L1803" s="17"/>
      <c r="M1803" s="17">
        <f>ROUND(0,2)</f>
        <v>0</v>
      </c>
      <c r="N1803" s="17">
        <f>ROUND(0,2)</f>
        <v>0</v>
      </c>
      <c r="O1803" s="17">
        <f>ROUND(-6339.64000000001,2)</f>
        <v>-6339.64</v>
      </c>
      <c r="P1803" s="18">
        <v>103.79619161676648</v>
      </c>
      <c r="Q1803" s="18">
        <v>100</v>
      </c>
    </row>
    <row r="1804" spans="1:17" ht="12.75" customHeight="1">
      <c r="A1804" s="19" t="s">
        <v>1140</v>
      </c>
      <c r="B1804" s="19"/>
      <c r="C1804" s="19"/>
      <c r="D1804" s="19"/>
      <c r="E1804" s="20">
        <f>SUM('DS1'!$A$455:$A$456)</f>
        <v>232000</v>
      </c>
      <c r="F1804" s="20">
        <v>0</v>
      </c>
      <c r="G1804" s="20">
        <v>232000</v>
      </c>
      <c r="H1804" s="20">
        <v>230302.13</v>
      </c>
      <c r="I1804" s="21">
        <v>230302.13</v>
      </c>
      <c r="J1804" s="21"/>
      <c r="K1804" s="21">
        <v>230302.13</v>
      </c>
      <c r="L1804" s="21"/>
      <c r="M1804" s="20">
        <v>230302.13</v>
      </c>
      <c r="N1804" s="20">
        <v>230302.13</v>
      </c>
      <c r="O1804" s="20">
        <v>1697.87</v>
      </c>
      <c r="P1804" s="22">
        <v>0.7318405172413792</v>
      </c>
      <c r="Q1804" s="22">
        <v>99.26815948275862</v>
      </c>
    </row>
    <row r="1805" spans="1:17" ht="12.75" customHeight="1">
      <c r="A1805" s="23"/>
      <c r="B1805" s="24"/>
      <c r="C1805" s="24"/>
      <c r="D1805" s="24"/>
      <c r="E1805" s="23"/>
      <c r="F1805" s="20">
        <v>0</v>
      </c>
      <c r="G1805" s="20">
        <v>0</v>
      </c>
      <c r="H1805" s="20">
        <v>0</v>
      </c>
      <c r="I1805" s="21">
        <v>0</v>
      </c>
      <c r="J1805" s="21"/>
      <c r="K1805" s="21">
        <v>0</v>
      </c>
      <c r="L1805" s="21"/>
      <c r="M1805" s="20">
        <v>0</v>
      </c>
      <c r="N1805" s="20">
        <v>0</v>
      </c>
      <c r="O1805" s="20">
        <v>1697.869999999988</v>
      </c>
      <c r="P1805" s="22">
        <v>99.26815948275862</v>
      </c>
      <c r="Q1805" s="22">
        <v>100</v>
      </c>
    </row>
    <row r="1806" spans="1:17" ht="20.25" customHeight="1">
      <c r="A1806" s="23"/>
      <c r="B1806" s="24"/>
      <c r="C1806" s="24"/>
      <c r="D1806" s="24"/>
      <c r="E1806" s="23"/>
      <c r="F1806" s="23"/>
      <c r="G1806" s="23"/>
      <c r="H1806" s="23"/>
      <c r="I1806" s="24"/>
      <c r="J1806" s="24"/>
      <c r="K1806" s="24"/>
      <c r="L1806" s="24"/>
      <c r="M1806" s="23"/>
      <c r="N1806" s="23"/>
      <c r="O1806" s="23"/>
      <c r="P1806" s="23"/>
      <c r="Q1806" s="23"/>
    </row>
    <row r="1807" spans="1:17" ht="12.75" customHeight="1">
      <c r="A1807" s="10"/>
      <c r="B1807" s="11" t="s">
        <v>1141</v>
      </c>
      <c r="C1807" s="11"/>
      <c r="D1807" s="11"/>
      <c r="E1807" s="12">
        <f>ROUND(45000,2)</f>
        <v>45000</v>
      </c>
      <c r="F1807" s="12">
        <f aca="true" t="shared" si="1046" ref="F1807:F1808">ROUND(0,2)</f>
        <v>0</v>
      </c>
      <c r="G1807" s="12">
        <f>ROUND(45000,2)</f>
        <v>45000</v>
      </c>
      <c r="H1807" s="12">
        <f>ROUND(53530.42,2)</f>
        <v>53530.42</v>
      </c>
      <c r="I1807" s="13">
        <f>ROUND(53530.42,2)</f>
        <v>53530.42</v>
      </c>
      <c r="J1807" s="13"/>
      <c r="K1807" s="13">
        <f>ROUND(53530.42,2)</f>
        <v>53530.42</v>
      </c>
      <c r="L1807" s="13"/>
      <c r="M1807" s="12">
        <f>ROUND(53530.42,2)</f>
        <v>53530.42</v>
      </c>
      <c r="N1807" s="12">
        <f>ROUND(52778.94,2)</f>
        <v>52778.94</v>
      </c>
      <c r="O1807" s="12">
        <f>ROUND(-8530.42,2)</f>
        <v>-8530.42</v>
      </c>
      <c r="P1807" s="14">
        <v>-18.956488888888888</v>
      </c>
      <c r="Q1807" s="14">
        <v>118.95648888888888</v>
      </c>
    </row>
    <row r="1808" spans="1:17" ht="12.75" customHeight="1">
      <c r="A1808" s="15" t="s">
        <v>1142</v>
      </c>
      <c r="B1808" s="15"/>
      <c r="C1808" s="15"/>
      <c r="D1808" s="15"/>
      <c r="E1808" s="16" t="s">
        <v>1121</v>
      </c>
      <c r="F1808" s="17">
        <f t="shared" si="1046"/>
        <v>0</v>
      </c>
      <c r="G1808" s="17">
        <f>ROUND(0,2)</f>
        <v>0</v>
      </c>
      <c r="H1808" s="17">
        <f>ROUND(0,2)</f>
        <v>0</v>
      </c>
      <c r="I1808" s="17">
        <f>ROUND(0,2)</f>
        <v>0</v>
      </c>
      <c r="J1808" s="17"/>
      <c r="K1808" s="17">
        <f>ROUND(0,2)</f>
        <v>0</v>
      </c>
      <c r="L1808" s="17"/>
      <c r="M1808" s="17">
        <f>ROUND(751.479999999996,2)</f>
        <v>751.48</v>
      </c>
      <c r="N1808" s="17">
        <f>ROUND(0,2)</f>
        <v>0</v>
      </c>
      <c r="O1808" s="17">
        <f>ROUND(-8530.42,2)</f>
        <v>-8530.42</v>
      </c>
      <c r="P1808" s="18">
        <v>118.95648888888888</v>
      </c>
      <c r="Q1808" s="18">
        <v>98.59616270524312</v>
      </c>
    </row>
    <row r="1809" spans="1:17" ht="12.75" customHeight="1">
      <c r="A1809" s="19" t="s">
        <v>95</v>
      </c>
      <c r="B1809" s="19"/>
      <c r="C1809" s="19"/>
      <c r="D1809" s="19"/>
      <c r="E1809" s="20">
        <f>SUM('DS1'!$A$457)</f>
        <v>45000</v>
      </c>
      <c r="F1809" s="20">
        <v>0</v>
      </c>
      <c r="G1809" s="20">
        <v>45000</v>
      </c>
      <c r="H1809" s="20">
        <v>53530.42</v>
      </c>
      <c r="I1809" s="21">
        <v>53530.42</v>
      </c>
      <c r="J1809" s="21"/>
      <c r="K1809" s="21">
        <v>53530.42</v>
      </c>
      <c r="L1809" s="21"/>
      <c r="M1809" s="20">
        <v>53530.42</v>
      </c>
      <c r="N1809" s="20">
        <v>52778.94</v>
      </c>
      <c r="O1809" s="20">
        <v>-8530.42</v>
      </c>
      <c r="P1809" s="22">
        <v>-18.956488888888888</v>
      </c>
      <c r="Q1809" s="22">
        <v>118.95648888888888</v>
      </c>
    </row>
    <row r="1810" spans="1:17" ht="12.75" customHeight="1">
      <c r="A1810" s="23"/>
      <c r="B1810" s="24"/>
      <c r="C1810" s="24"/>
      <c r="D1810" s="24"/>
      <c r="E1810" s="23"/>
      <c r="F1810" s="20">
        <v>0</v>
      </c>
      <c r="G1810" s="20">
        <v>0</v>
      </c>
      <c r="H1810" s="20">
        <v>0</v>
      </c>
      <c r="I1810" s="21">
        <v>0</v>
      </c>
      <c r="J1810" s="21"/>
      <c r="K1810" s="21">
        <v>0</v>
      </c>
      <c r="L1810" s="21"/>
      <c r="M1810" s="20">
        <v>751.4799999999959</v>
      </c>
      <c r="N1810" s="20">
        <v>0</v>
      </c>
      <c r="O1810" s="20">
        <v>-8530.419999999998</v>
      </c>
      <c r="P1810" s="22">
        <v>118.95648888888888</v>
      </c>
      <c r="Q1810" s="22">
        <v>98.59616270524312</v>
      </c>
    </row>
    <row r="1811" spans="1:17" ht="20.25" customHeight="1">
      <c r="A1811" s="23"/>
      <c r="B1811" s="24"/>
      <c r="C1811" s="24"/>
      <c r="D1811" s="24"/>
      <c r="E1811" s="23"/>
      <c r="F1811" s="23"/>
      <c r="G1811" s="23"/>
      <c r="H1811" s="23"/>
      <c r="I1811" s="24"/>
      <c r="J1811" s="24"/>
      <c r="K1811" s="24"/>
      <c r="L1811" s="24"/>
      <c r="M1811" s="23"/>
      <c r="N1811" s="23"/>
      <c r="O1811" s="23"/>
      <c r="P1811" s="23"/>
      <c r="Q1811" s="23"/>
    </row>
    <row r="1812" spans="1:17" ht="12.75" customHeight="1">
      <c r="A1812" s="10"/>
      <c r="B1812" s="11" t="s">
        <v>1143</v>
      </c>
      <c r="C1812" s="11"/>
      <c r="D1812" s="11"/>
      <c r="E1812" s="12">
        <f>ROUND(1000,2)</f>
        <v>1000</v>
      </c>
      <c r="F1812" s="12">
        <f aca="true" t="shared" si="1047" ref="F1812:F1817">ROUND(0,2)</f>
        <v>0</v>
      </c>
      <c r="G1812" s="12">
        <f>ROUND(1000,2)</f>
        <v>1000</v>
      </c>
      <c r="H1812" s="12">
        <f aca="true" t="shared" si="1048" ref="H1812:H1813">ROUND(0,2)</f>
        <v>0</v>
      </c>
      <c r="I1812" s="13">
        <f aca="true" t="shared" si="1049" ref="I1812:I1813">ROUND(0,2)</f>
        <v>0</v>
      </c>
      <c r="J1812" s="13"/>
      <c r="K1812" s="13">
        <f aca="true" t="shared" si="1050" ref="K1812:K1813">ROUND(0,2)</f>
        <v>0</v>
      </c>
      <c r="L1812" s="13"/>
      <c r="M1812" s="12">
        <f aca="true" t="shared" si="1051" ref="M1812:M1813">ROUND(0,2)</f>
        <v>0</v>
      </c>
      <c r="N1812" s="12">
        <f aca="true" t="shared" si="1052" ref="N1812:N1813">ROUND(0,2)</f>
        <v>0</v>
      </c>
      <c r="O1812" s="12">
        <f aca="true" t="shared" si="1053" ref="O1812:O1813">ROUND(1000,2)</f>
        <v>1000</v>
      </c>
      <c r="P1812" s="14">
        <v>100</v>
      </c>
      <c r="Q1812" s="14">
        <v>0</v>
      </c>
    </row>
    <row r="1813" spans="1:17" ht="12.75" customHeight="1">
      <c r="A1813" s="15" t="s">
        <v>1144</v>
      </c>
      <c r="B1813" s="15"/>
      <c r="C1813" s="15"/>
      <c r="D1813" s="15"/>
      <c r="E1813" s="16" t="s">
        <v>1121</v>
      </c>
      <c r="F1813" s="17">
        <f t="shared" si="1047"/>
        <v>0</v>
      </c>
      <c r="G1813" s="17">
        <f>ROUND(0,2)</f>
        <v>0</v>
      </c>
      <c r="H1813" s="17">
        <f t="shared" si="1048"/>
        <v>0</v>
      </c>
      <c r="I1813" s="17">
        <f t="shared" si="1049"/>
        <v>0</v>
      </c>
      <c r="J1813" s="17"/>
      <c r="K1813" s="17">
        <f t="shared" si="1050"/>
        <v>0</v>
      </c>
      <c r="L1813" s="17"/>
      <c r="M1813" s="17">
        <f t="shared" si="1051"/>
        <v>0</v>
      </c>
      <c r="N1813" s="17">
        <f t="shared" si="1052"/>
        <v>0</v>
      </c>
      <c r="O1813" s="17">
        <f t="shared" si="1053"/>
        <v>1000</v>
      </c>
      <c r="P1813" s="18">
        <v>0</v>
      </c>
      <c r="Q1813" s="18">
        <v>0</v>
      </c>
    </row>
    <row r="1814" spans="1:17" ht="12.75" customHeight="1">
      <c r="A1814" s="10"/>
      <c r="B1814" s="11" t="s">
        <v>1145</v>
      </c>
      <c r="C1814" s="11"/>
      <c r="D1814" s="11"/>
      <c r="E1814" s="12">
        <f>ROUND(3500,2)</f>
        <v>3500</v>
      </c>
      <c r="F1814" s="12">
        <f t="shared" si="1047"/>
        <v>0</v>
      </c>
      <c r="G1814" s="12">
        <f>ROUND(3500,2)</f>
        <v>3500</v>
      </c>
      <c r="H1814" s="12">
        <f>ROUND(14,2)</f>
        <v>14</v>
      </c>
      <c r="I1814" s="13">
        <f>ROUND(14,2)</f>
        <v>14</v>
      </c>
      <c r="J1814" s="13"/>
      <c r="K1814" s="13">
        <f>ROUND(14,2)</f>
        <v>14</v>
      </c>
      <c r="L1814" s="13"/>
      <c r="M1814" s="12">
        <f>ROUND(14,2)</f>
        <v>14</v>
      </c>
      <c r="N1814" s="12">
        <f>ROUND(14,2)</f>
        <v>14</v>
      </c>
      <c r="O1814" s="12">
        <f aca="true" t="shared" si="1054" ref="O1814:O1815">ROUND(3486,2)</f>
        <v>3486</v>
      </c>
      <c r="P1814" s="14">
        <v>99.6</v>
      </c>
      <c r="Q1814" s="14">
        <v>0.4</v>
      </c>
    </row>
    <row r="1815" spans="1:17" ht="12.75" customHeight="1">
      <c r="A1815" s="15" t="s">
        <v>1146</v>
      </c>
      <c r="B1815" s="15"/>
      <c r="C1815" s="15"/>
      <c r="D1815" s="15"/>
      <c r="E1815" s="16" t="s">
        <v>1121</v>
      </c>
      <c r="F1815" s="17">
        <f t="shared" si="1047"/>
        <v>0</v>
      </c>
      <c r="G1815" s="17">
        <f>ROUND(0,2)</f>
        <v>0</v>
      </c>
      <c r="H1815" s="17">
        <f aca="true" t="shared" si="1055" ref="H1815:H1817">ROUND(0,2)</f>
        <v>0</v>
      </c>
      <c r="I1815" s="17">
        <f aca="true" t="shared" si="1056" ref="I1815:I1817">ROUND(0,2)</f>
        <v>0</v>
      </c>
      <c r="J1815" s="17"/>
      <c r="K1815" s="17">
        <f aca="true" t="shared" si="1057" ref="K1815:K1817">ROUND(0,2)</f>
        <v>0</v>
      </c>
      <c r="L1815" s="17"/>
      <c r="M1815" s="17">
        <f aca="true" t="shared" si="1058" ref="M1815:M1817">ROUND(0,2)</f>
        <v>0</v>
      </c>
      <c r="N1815" s="17">
        <f aca="true" t="shared" si="1059" ref="N1815:N1817">ROUND(0,2)</f>
        <v>0</v>
      </c>
      <c r="O1815" s="17">
        <f t="shared" si="1054"/>
        <v>3486</v>
      </c>
      <c r="P1815" s="18">
        <v>0.4</v>
      </c>
      <c r="Q1815" s="18">
        <v>100</v>
      </c>
    </row>
    <row r="1816" spans="1:17" ht="12.75" customHeight="1">
      <c r="A1816" s="10"/>
      <c r="B1816" s="11" t="s">
        <v>1147</v>
      </c>
      <c r="C1816" s="11"/>
      <c r="D1816" s="11"/>
      <c r="E1816" s="12">
        <f>ROUND(1000,2)</f>
        <v>1000</v>
      </c>
      <c r="F1816" s="12">
        <f t="shared" si="1047"/>
        <v>0</v>
      </c>
      <c r="G1816" s="12">
        <f>ROUND(1000,2)</f>
        <v>1000</v>
      </c>
      <c r="H1816" s="12">
        <f t="shared" si="1055"/>
        <v>0</v>
      </c>
      <c r="I1816" s="13">
        <f t="shared" si="1056"/>
        <v>0</v>
      </c>
      <c r="J1816" s="13"/>
      <c r="K1816" s="13">
        <f t="shared" si="1057"/>
        <v>0</v>
      </c>
      <c r="L1816" s="13"/>
      <c r="M1816" s="12">
        <f t="shared" si="1058"/>
        <v>0</v>
      </c>
      <c r="N1816" s="12">
        <f t="shared" si="1059"/>
        <v>0</v>
      </c>
      <c r="O1816" s="12">
        <f aca="true" t="shared" si="1060" ref="O1816:O1817">ROUND(1000,2)</f>
        <v>1000</v>
      </c>
      <c r="P1816" s="14">
        <v>100</v>
      </c>
      <c r="Q1816" s="14">
        <v>0</v>
      </c>
    </row>
    <row r="1817" spans="1:17" ht="12.75" customHeight="1">
      <c r="A1817" s="15" t="s">
        <v>1148</v>
      </c>
      <c r="B1817" s="15"/>
      <c r="C1817" s="15"/>
      <c r="D1817" s="15"/>
      <c r="E1817" s="16" t="s">
        <v>1121</v>
      </c>
      <c r="F1817" s="17">
        <f t="shared" si="1047"/>
        <v>0</v>
      </c>
      <c r="G1817" s="17">
        <f>ROUND(0,2)</f>
        <v>0</v>
      </c>
      <c r="H1817" s="17">
        <f t="shared" si="1055"/>
        <v>0</v>
      </c>
      <c r="I1817" s="17">
        <f t="shared" si="1056"/>
        <v>0</v>
      </c>
      <c r="J1817" s="17"/>
      <c r="K1817" s="17">
        <f t="shared" si="1057"/>
        <v>0</v>
      </c>
      <c r="L1817" s="17"/>
      <c r="M1817" s="17">
        <f t="shared" si="1058"/>
        <v>0</v>
      </c>
      <c r="N1817" s="17">
        <f t="shared" si="1059"/>
        <v>0</v>
      </c>
      <c r="O1817" s="17">
        <f t="shared" si="1060"/>
        <v>1000</v>
      </c>
      <c r="P1817" s="18">
        <v>0</v>
      </c>
      <c r="Q1817" s="18">
        <v>0</v>
      </c>
    </row>
    <row r="1818" spans="1:17" ht="12.75" customHeight="1">
      <c r="A1818" s="19" t="s">
        <v>252</v>
      </c>
      <c r="B1818" s="19"/>
      <c r="C1818" s="19"/>
      <c r="D1818" s="19"/>
      <c r="E1818" s="20">
        <f>SUM('DS1'!$A$458:$A$460)</f>
        <v>5500</v>
      </c>
      <c r="F1818" s="20">
        <v>0</v>
      </c>
      <c r="G1818" s="20">
        <v>5500</v>
      </c>
      <c r="H1818" s="20">
        <v>14</v>
      </c>
      <c r="I1818" s="21">
        <v>14</v>
      </c>
      <c r="J1818" s="21"/>
      <c r="K1818" s="21">
        <v>14</v>
      </c>
      <c r="L1818" s="21"/>
      <c r="M1818" s="20">
        <v>14</v>
      </c>
      <c r="N1818" s="20">
        <v>14</v>
      </c>
      <c r="O1818" s="20">
        <v>5486</v>
      </c>
      <c r="P1818" s="22">
        <v>99.74545454545455</v>
      </c>
      <c r="Q1818" s="22">
        <v>0.2545454545454546</v>
      </c>
    </row>
    <row r="1819" spans="1:17" ht="12.75" customHeight="1">
      <c r="A1819" s="23"/>
      <c r="B1819" s="24"/>
      <c r="C1819" s="24"/>
      <c r="D1819" s="24"/>
      <c r="E1819" s="23"/>
      <c r="F1819" s="20">
        <v>0</v>
      </c>
      <c r="G1819" s="20">
        <v>0</v>
      </c>
      <c r="H1819" s="20">
        <v>0</v>
      </c>
      <c r="I1819" s="21">
        <v>0</v>
      </c>
      <c r="J1819" s="21"/>
      <c r="K1819" s="21">
        <v>0</v>
      </c>
      <c r="L1819" s="21"/>
      <c r="M1819" s="20">
        <v>0</v>
      </c>
      <c r="N1819" s="20">
        <v>0</v>
      </c>
      <c r="O1819" s="20">
        <v>5486</v>
      </c>
      <c r="P1819" s="22">
        <v>0.2545454545454546</v>
      </c>
      <c r="Q1819" s="22">
        <v>100</v>
      </c>
    </row>
    <row r="1820" spans="1:17" ht="20.25" customHeight="1">
      <c r="A1820" s="23"/>
      <c r="B1820" s="24"/>
      <c r="C1820" s="24"/>
      <c r="D1820" s="24"/>
      <c r="E1820" s="23"/>
      <c r="F1820" s="23"/>
      <c r="G1820" s="23"/>
      <c r="H1820" s="23"/>
      <c r="I1820" s="24"/>
      <c r="J1820" s="24"/>
      <c r="K1820" s="24"/>
      <c r="L1820" s="24"/>
      <c r="M1820" s="23"/>
      <c r="N1820" s="23"/>
      <c r="O1820" s="23"/>
      <c r="P1820" s="23"/>
      <c r="Q1820" s="23"/>
    </row>
    <row r="1821" spans="1:17" ht="12.75" customHeight="1">
      <c r="A1821" s="10"/>
      <c r="B1821" s="11" t="s">
        <v>1149</v>
      </c>
      <c r="C1821" s="11"/>
      <c r="D1821" s="11"/>
      <c r="E1821" s="12">
        <f>ROUND(1000,2)</f>
        <v>1000</v>
      </c>
      <c r="F1821" s="12">
        <f aca="true" t="shared" si="1061" ref="F1821:F1830">ROUND(0,2)</f>
        <v>0</v>
      </c>
      <c r="G1821" s="12">
        <f>ROUND(1000,2)</f>
        <v>1000</v>
      </c>
      <c r="H1821" s="12">
        <f aca="true" t="shared" si="1062" ref="H1821:H1822">ROUND(0,2)</f>
        <v>0</v>
      </c>
      <c r="I1821" s="13">
        <f aca="true" t="shared" si="1063" ref="I1821:I1822">ROUND(0,2)</f>
        <v>0</v>
      </c>
      <c r="J1821" s="13"/>
      <c r="K1821" s="13">
        <f aca="true" t="shared" si="1064" ref="K1821:K1822">ROUND(0,2)</f>
        <v>0</v>
      </c>
      <c r="L1821" s="13"/>
      <c r="M1821" s="12">
        <f aca="true" t="shared" si="1065" ref="M1821:M1822">ROUND(0,2)</f>
        <v>0</v>
      </c>
      <c r="N1821" s="12">
        <f aca="true" t="shared" si="1066" ref="N1821:N1822">ROUND(0,2)</f>
        <v>0</v>
      </c>
      <c r="O1821" s="12">
        <f aca="true" t="shared" si="1067" ref="O1821:O1822">ROUND(1000,2)</f>
        <v>1000</v>
      </c>
      <c r="P1821" s="14">
        <v>100</v>
      </c>
      <c r="Q1821" s="14">
        <v>0</v>
      </c>
    </row>
    <row r="1822" spans="1:17" ht="12.75" customHeight="1">
      <c r="A1822" s="15" t="s">
        <v>1150</v>
      </c>
      <c r="B1822" s="15"/>
      <c r="C1822" s="15"/>
      <c r="D1822" s="15"/>
      <c r="E1822" s="16" t="s">
        <v>1121</v>
      </c>
      <c r="F1822" s="17">
        <f t="shared" si="1061"/>
        <v>0</v>
      </c>
      <c r="G1822" s="17">
        <f aca="true" t="shared" si="1068" ref="G1822:G1824">ROUND(0,2)</f>
        <v>0</v>
      </c>
      <c r="H1822" s="17">
        <f t="shared" si="1062"/>
        <v>0</v>
      </c>
      <c r="I1822" s="17">
        <f t="shared" si="1063"/>
        <v>0</v>
      </c>
      <c r="J1822" s="17"/>
      <c r="K1822" s="17">
        <f t="shared" si="1064"/>
        <v>0</v>
      </c>
      <c r="L1822" s="17"/>
      <c r="M1822" s="17">
        <f t="shared" si="1065"/>
        <v>0</v>
      </c>
      <c r="N1822" s="17">
        <f t="shared" si="1066"/>
        <v>0</v>
      </c>
      <c r="O1822" s="17">
        <f t="shared" si="1067"/>
        <v>1000</v>
      </c>
      <c r="P1822" s="18">
        <v>0</v>
      </c>
      <c r="Q1822" s="18">
        <v>0</v>
      </c>
    </row>
    <row r="1823" spans="1:17" ht="12.75" customHeight="1">
      <c r="A1823" s="10"/>
      <c r="B1823" s="11" t="s">
        <v>1151</v>
      </c>
      <c r="C1823" s="11"/>
      <c r="D1823" s="11"/>
      <c r="E1823" s="12">
        <f>ROUND(0,2)</f>
        <v>0</v>
      </c>
      <c r="F1823" s="12">
        <f t="shared" si="1061"/>
        <v>0</v>
      </c>
      <c r="G1823" s="12">
        <f t="shared" si="1068"/>
        <v>0</v>
      </c>
      <c r="H1823" s="12">
        <f>ROUND(11042.85,2)</f>
        <v>11042.85</v>
      </c>
      <c r="I1823" s="13">
        <f>ROUND(11042.85,2)</f>
        <v>11042.85</v>
      </c>
      <c r="J1823" s="13"/>
      <c r="K1823" s="13">
        <f>ROUND(11042.85,2)</f>
        <v>11042.85</v>
      </c>
      <c r="L1823" s="13"/>
      <c r="M1823" s="12">
        <f>ROUND(11042.85,2)</f>
        <v>11042.85</v>
      </c>
      <c r="N1823" s="12">
        <f>ROUND(11042.85,2)</f>
        <v>11042.85</v>
      </c>
      <c r="O1823" s="12">
        <f aca="true" t="shared" si="1069" ref="O1823:O1824">ROUND(-11042.85,2)</f>
        <v>-11042.85</v>
      </c>
      <c r="P1823" s="14">
        <v>0</v>
      </c>
      <c r="Q1823" s="14">
        <v>0</v>
      </c>
    </row>
    <row r="1824" spans="1:17" ht="12.75" customHeight="1">
      <c r="A1824" s="15" t="s">
        <v>1152</v>
      </c>
      <c r="B1824" s="15"/>
      <c r="C1824" s="15"/>
      <c r="D1824" s="15"/>
      <c r="E1824" s="16" t="s">
        <v>1121</v>
      </c>
      <c r="F1824" s="17">
        <f t="shared" si="1061"/>
        <v>0</v>
      </c>
      <c r="G1824" s="17">
        <f t="shared" si="1068"/>
        <v>0</v>
      </c>
      <c r="H1824" s="17">
        <f aca="true" t="shared" si="1070" ref="H1824:H1826">ROUND(0,2)</f>
        <v>0</v>
      </c>
      <c r="I1824" s="17">
        <f aca="true" t="shared" si="1071" ref="I1824:I1826">ROUND(0,2)</f>
        <v>0</v>
      </c>
      <c r="J1824" s="17"/>
      <c r="K1824" s="17">
        <f aca="true" t="shared" si="1072" ref="K1824:K1826">ROUND(0,2)</f>
        <v>0</v>
      </c>
      <c r="L1824" s="17"/>
      <c r="M1824" s="17">
        <f aca="true" t="shared" si="1073" ref="M1824:M1826">ROUND(0,2)</f>
        <v>0</v>
      </c>
      <c r="N1824" s="17">
        <f aca="true" t="shared" si="1074" ref="N1824:N1826">ROUND(0,2)</f>
        <v>0</v>
      </c>
      <c r="O1824" s="17">
        <f t="shared" si="1069"/>
        <v>-11042.85</v>
      </c>
      <c r="P1824" s="18">
        <v>0</v>
      </c>
      <c r="Q1824" s="18">
        <v>100</v>
      </c>
    </row>
    <row r="1825" spans="1:17" ht="12.75" customHeight="1">
      <c r="A1825" s="10"/>
      <c r="B1825" s="11" t="s">
        <v>1153</v>
      </c>
      <c r="C1825" s="11"/>
      <c r="D1825" s="11"/>
      <c r="E1825" s="12">
        <f>ROUND(1000,2)</f>
        <v>1000</v>
      </c>
      <c r="F1825" s="12">
        <f t="shared" si="1061"/>
        <v>0</v>
      </c>
      <c r="G1825" s="12">
        <f>ROUND(1000,2)</f>
        <v>1000</v>
      </c>
      <c r="H1825" s="12">
        <f t="shared" si="1070"/>
        <v>0</v>
      </c>
      <c r="I1825" s="13">
        <f t="shared" si="1071"/>
        <v>0</v>
      </c>
      <c r="J1825" s="13"/>
      <c r="K1825" s="13">
        <f t="shared" si="1072"/>
        <v>0</v>
      </c>
      <c r="L1825" s="13"/>
      <c r="M1825" s="12">
        <f t="shared" si="1073"/>
        <v>0</v>
      </c>
      <c r="N1825" s="12">
        <f t="shared" si="1074"/>
        <v>0</v>
      </c>
      <c r="O1825" s="12">
        <f aca="true" t="shared" si="1075" ref="O1825:O1826">ROUND(1000,2)</f>
        <v>1000</v>
      </c>
      <c r="P1825" s="14">
        <v>100</v>
      </c>
      <c r="Q1825" s="14">
        <v>0</v>
      </c>
    </row>
    <row r="1826" spans="1:17" ht="12.75" customHeight="1">
      <c r="A1826" s="15" t="s">
        <v>1154</v>
      </c>
      <c r="B1826" s="15"/>
      <c r="C1826" s="15"/>
      <c r="D1826" s="15"/>
      <c r="E1826" s="16" t="s">
        <v>1121</v>
      </c>
      <c r="F1826" s="17">
        <f t="shared" si="1061"/>
        <v>0</v>
      </c>
      <c r="G1826" s="17">
        <f>ROUND(0,2)</f>
        <v>0</v>
      </c>
      <c r="H1826" s="17">
        <f t="shared" si="1070"/>
        <v>0</v>
      </c>
      <c r="I1826" s="17">
        <f t="shared" si="1071"/>
        <v>0</v>
      </c>
      <c r="J1826" s="17"/>
      <c r="K1826" s="17">
        <f t="shared" si="1072"/>
        <v>0</v>
      </c>
      <c r="L1826" s="17"/>
      <c r="M1826" s="17">
        <f t="shared" si="1073"/>
        <v>0</v>
      </c>
      <c r="N1826" s="17">
        <f t="shared" si="1074"/>
        <v>0</v>
      </c>
      <c r="O1826" s="17">
        <f t="shared" si="1075"/>
        <v>1000</v>
      </c>
      <c r="P1826" s="18">
        <v>0</v>
      </c>
      <c r="Q1826" s="18">
        <v>0</v>
      </c>
    </row>
    <row r="1827" spans="1:17" ht="12.75" customHeight="1">
      <c r="A1827" s="10"/>
      <c r="B1827" s="11" t="s">
        <v>1155</v>
      </c>
      <c r="C1827" s="11"/>
      <c r="D1827" s="11"/>
      <c r="E1827" s="12">
        <f>ROUND(50000,2)</f>
        <v>50000</v>
      </c>
      <c r="F1827" s="12">
        <f t="shared" si="1061"/>
        <v>0</v>
      </c>
      <c r="G1827" s="12">
        <f>ROUND(50000,2)</f>
        <v>50000</v>
      </c>
      <c r="H1827" s="12">
        <f>ROUND(5041.19,2)</f>
        <v>5041.19</v>
      </c>
      <c r="I1827" s="13">
        <f>ROUND(5041.19,2)</f>
        <v>5041.19</v>
      </c>
      <c r="J1827" s="13"/>
      <c r="K1827" s="13">
        <f>ROUND(5041.19,2)</f>
        <v>5041.19</v>
      </c>
      <c r="L1827" s="13"/>
      <c r="M1827" s="12">
        <f>ROUND(5041.19,2)</f>
        <v>5041.19</v>
      </c>
      <c r="N1827" s="12">
        <f>ROUND(3841.82,2)</f>
        <v>3841.82</v>
      </c>
      <c r="O1827" s="12">
        <f>ROUND(18261.62,2)</f>
        <v>18261.62</v>
      </c>
      <c r="P1827" s="14">
        <v>36.523239999999994</v>
      </c>
      <c r="Q1827" s="14">
        <v>10.082379999999999</v>
      </c>
    </row>
    <row r="1828" spans="1:17" ht="12.75" customHeight="1">
      <c r="A1828" s="15" t="s">
        <v>1156</v>
      </c>
      <c r="B1828" s="15"/>
      <c r="C1828" s="15"/>
      <c r="D1828" s="15"/>
      <c r="E1828" s="16" t="s">
        <v>1121</v>
      </c>
      <c r="F1828" s="17">
        <f t="shared" si="1061"/>
        <v>0</v>
      </c>
      <c r="G1828" s="17">
        <f>ROUND(26697.19,2)</f>
        <v>26697.19</v>
      </c>
      <c r="H1828" s="17">
        <f>ROUND(0,2)</f>
        <v>0</v>
      </c>
      <c r="I1828" s="17">
        <f>ROUND(0,2)</f>
        <v>0</v>
      </c>
      <c r="J1828" s="17"/>
      <c r="K1828" s="17">
        <f>ROUND(0,2)</f>
        <v>0</v>
      </c>
      <c r="L1828" s="17"/>
      <c r="M1828" s="17">
        <f>ROUND(1199.37,2)</f>
        <v>1199.37</v>
      </c>
      <c r="N1828" s="17">
        <f>ROUND(0,2)</f>
        <v>0</v>
      </c>
      <c r="O1828" s="17">
        <f>ROUND(44958.81,2)</f>
        <v>44958.81</v>
      </c>
      <c r="P1828" s="18">
        <v>10.082379999999999</v>
      </c>
      <c r="Q1828" s="18">
        <v>76.20859360587481</v>
      </c>
    </row>
    <row r="1829" spans="1:17" ht="12.75" customHeight="1">
      <c r="A1829" s="10"/>
      <c r="B1829" s="11" t="s">
        <v>1157</v>
      </c>
      <c r="C1829" s="11"/>
      <c r="D1829" s="11"/>
      <c r="E1829" s="12">
        <f>ROUND(5000,2)</f>
        <v>5000</v>
      </c>
      <c r="F1829" s="12">
        <f t="shared" si="1061"/>
        <v>0</v>
      </c>
      <c r="G1829" s="12">
        <f>ROUND(5000,2)</f>
        <v>5000</v>
      </c>
      <c r="H1829" s="12">
        <f>ROUND(305.95,2)</f>
        <v>305.95</v>
      </c>
      <c r="I1829" s="13">
        <f>ROUND(305.95,2)</f>
        <v>305.95</v>
      </c>
      <c r="J1829" s="13"/>
      <c r="K1829" s="13">
        <f>ROUND(305.95,2)</f>
        <v>305.95</v>
      </c>
      <c r="L1829" s="13"/>
      <c r="M1829" s="12">
        <f>ROUND(305.95,2)</f>
        <v>305.95</v>
      </c>
      <c r="N1829" s="12">
        <f>ROUND(305.95,2)</f>
        <v>305.95</v>
      </c>
      <c r="O1829" s="12">
        <f aca="true" t="shared" si="1076" ref="O1829:O1830">ROUND(4694.05,2)</f>
        <v>4694.05</v>
      </c>
      <c r="P1829" s="14">
        <v>93.881</v>
      </c>
      <c r="Q1829" s="14">
        <v>6.119</v>
      </c>
    </row>
    <row r="1830" spans="1:17" ht="12.75" customHeight="1">
      <c r="A1830" s="15" t="s">
        <v>1158</v>
      </c>
      <c r="B1830" s="15"/>
      <c r="C1830" s="15"/>
      <c r="D1830" s="15"/>
      <c r="E1830" s="16" t="s">
        <v>1121</v>
      </c>
      <c r="F1830" s="17">
        <f t="shared" si="1061"/>
        <v>0</v>
      </c>
      <c r="G1830" s="17">
        <f>ROUND(0,2)</f>
        <v>0</v>
      </c>
      <c r="H1830" s="17">
        <f>ROUND(0,2)</f>
        <v>0</v>
      </c>
      <c r="I1830" s="17">
        <f>ROUND(0,2)</f>
        <v>0</v>
      </c>
      <c r="J1830" s="17"/>
      <c r="K1830" s="17">
        <f>ROUND(0,2)</f>
        <v>0</v>
      </c>
      <c r="L1830" s="17"/>
      <c r="M1830" s="17">
        <f>ROUND(0,2)</f>
        <v>0</v>
      </c>
      <c r="N1830" s="17">
        <f>ROUND(0,2)</f>
        <v>0</v>
      </c>
      <c r="O1830" s="17">
        <f t="shared" si="1076"/>
        <v>4694.05</v>
      </c>
      <c r="P1830" s="18">
        <v>6.119</v>
      </c>
      <c r="Q1830" s="18">
        <v>100</v>
      </c>
    </row>
    <row r="1831" spans="1:17" ht="12.75" customHeight="1">
      <c r="A1831" s="19" t="s">
        <v>124</v>
      </c>
      <c r="B1831" s="19"/>
      <c r="C1831" s="19"/>
      <c r="D1831" s="19"/>
      <c r="E1831" s="20">
        <f>SUM('DS1'!$A$461:$A$465)</f>
        <v>57000</v>
      </c>
      <c r="F1831" s="20">
        <v>0</v>
      </c>
      <c r="G1831" s="20">
        <v>57000</v>
      </c>
      <c r="H1831" s="20">
        <v>16389.99</v>
      </c>
      <c r="I1831" s="21">
        <v>16389.99</v>
      </c>
      <c r="J1831" s="21"/>
      <c r="K1831" s="21">
        <v>16389.99</v>
      </c>
      <c r="L1831" s="21"/>
      <c r="M1831" s="20">
        <v>16389.99</v>
      </c>
      <c r="N1831" s="20">
        <v>15190.62</v>
      </c>
      <c r="O1831" s="20">
        <v>13912.82</v>
      </c>
      <c r="P1831" s="22">
        <v>24.408456140350875</v>
      </c>
      <c r="Q1831" s="22">
        <v>28.754368421052632</v>
      </c>
    </row>
    <row r="1832" spans="1:17" ht="12.75" customHeight="1">
      <c r="A1832" s="23"/>
      <c r="B1832" s="24"/>
      <c r="C1832" s="24"/>
      <c r="D1832" s="24"/>
      <c r="E1832" s="23"/>
      <c r="F1832" s="20">
        <v>0</v>
      </c>
      <c r="G1832" s="20">
        <v>26697.19</v>
      </c>
      <c r="H1832" s="20">
        <v>0</v>
      </c>
      <c r="I1832" s="21">
        <v>0</v>
      </c>
      <c r="J1832" s="21"/>
      <c r="K1832" s="21">
        <v>0</v>
      </c>
      <c r="L1832" s="21"/>
      <c r="M1832" s="20">
        <v>1199.3699999999994</v>
      </c>
      <c r="N1832" s="20">
        <v>0</v>
      </c>
      <c r="O1832" s="20">
        <v>40610.01</v>
      </c>
      <c r="P1832" s="22">
        <v>28.754368421052632</v>
      </c>
      <c r="Q1832" s="22">
        <v>92.68230181958621</v>
      </c>
    </row>
    <row r="1833" spans="1:17" ht="20.25" customHeight="1">
      <c r="A1833" s="23"/>
      <c r="B1833" s="24"/>
      <c r="C1833" s="24"/>
      <c r="D1833" s="24"/>
      <c r="E1833" s="23"/>
      <c r="F1833" s="23"/>
      <c r="G1833" s="23"/>
      <c r="H1833" s="23"/>
      <c r="I1833" s="24"/>
      <c r="J1833" s="24"/>
      <c r="K1833" s="24"/>
      <c r="L1833" s="24"/>
      <c r="M1833" s="23"/>
      <c r="N1833" s="23"/>
      <c r="O1833" s="23"/>
      <c r="P1833" s="23"/>
      <c r="Q1833" s="23"/>
    </row>
    <row r="1834" spans="1:17" ht="12.75" customHeight="1">
      <c r="A1834" s="10"/>
      <c r="B1834" s="11" t="s">
        <v>1159</v>
      </c>
      <c r="C1834" s="11"/>
      <c r="D1834" s="11"/>
      <c r="E1834" s="12">
        <f>ROUND(300000,2)</f>
        <v>300000</v>
      </c>
      <c r="F1834" s="12">
        <f aca="true" t="shared" si="1077" ref="F1834:F1841">ROUND(0,2)</f>
        <v>0</v>
      </c>
      <c r="G1834" s="12">
        <f>ROUND(300000,2)</f>
        <v>300000</v>
      </c>
      <c r="H1834" s="12">
        <f>ROUND(164180.04,2)</f>
        <v>164180.04</v>
      </c>
      <c r="I1834" s="13">
        <f>ROUND(164180.04,2)</f>
        <v>164180.04</v>
      </c>
      <c r="J1834" s="13"/>
      <c r="K1834" s="13">
        <f>ROUND(115236.61,2)</f>
        <v>115236.61</v>
      </c>
      <c r="L1834" s="13"/>
      <c r="M1834" s="12">
        <f>ROUND(115236.61,2)</f>
        <v>115236.61</v>
      </c>
      <c r="N1834" s="12">
        <f>ROUND(104518.5,2)</f>
        <v>104518.5</v>
      </c>
      <c r="O1834" s="12">
        <f>ROUND(128025.51,2)</f>
        <v>128025.51</v>
      </c>
      <c r="P1834" s="14">
        <v>42.675169999999994</v>
      </c>
      <c r="Q1834" s="14">
        <v>38.41220333333333</v>
      </c>
    </row>
    <row r="1835" spans="1:17" ht="12.75" customHeight="1">
      <c r="A1835" s="15" t="s">
        <v>1160</v>
      </c>
      <c r="B1835" s="15"/>
      <c r="C1835" s="15"/>
      <c r="D1835" s="15"/>
      <c r="E1835" s="16" t="s">
        <v>1121</v>
      </c>
      <c r="F1835" s="17">
        <f t="shared" si="1077"/>
        <v>0</v>
      </c>
      <c r="G1835" s="17">
        <f>ROUND(7794.45000000001,2)</f>
        <v>7794.45</v>
      </c>
      <c r="H1835" s="17">
        <f aca="true" t="shared" si="1078" ref="H1835:H1837">ROUND(0,2)</f>
        <v>0</v>
      </c>
      <c r="I1835" s="17">
        <f>ROUND(48943.43,2)</f>
        <v>48943.43</v>
      </c>
      <c r="J1835" s="17"/>
      <c r="K1835" s="17">
        <f aca="true" t="shared" si="1079" ref="K1835:K1837">ROUND(0,2)</f>
        <v>0</v>
      </c>
      <c r="L1835" s="17"/>
      <c r="M1835" s="17">
        <f>ROUND(10718.11,2)</f>
        <v>10718.11</v>
      </c>
      <c r="N1835" s="17">
        <f aca="true" t="shared" si="1080" ref="N1835:N1837">ROUND(0,2)</f>
        <v>0</v>
      </c>
      <c r="O1835" s="17">
        <f>ROUND(184763.39,2)</f>
        <v>184763.39</v>
      </c>
      <c r="P1835" s="18">
        <v>54.72668</v>
      </c>
      <c r="Q1835" s="18">
        <v>90.69904086904327</v>
      </c>
    </row>
    <row r="1836" spans="1:17" ht="12.75" customHeight="1">
      <c r="A1836" s="10"/>
      <c r="B1836" s="11" t="s">
        <v>1161</v>
      </c>
      <c r="C1836" s="11"/>
      <c r="D1836" s="11"/>
      <c r="E1836" s="12">
        <f>ROUND(600,2)</f>
        <v>600</v>
      </c>
      <c r="F1836" s="12">
        <f t="shared" si="1077"/>
        <v>0</v>
      </c>
      <c r="G1836" s="12">
        <f>ROUND(600,2)</f>
        <v>600</v>
      </c>
      <c r="H1836" s="12">
        <f t="shared" si="1078"/>
        <v>0</v>
      </c>
      <c r="I1836" s="13">
        <f aca="true" t="shared" si="1081" ref="I1836:I1837">ROUND(0,2)</f>
        <v>0</v>
      </c>
      <c r="J1836" s="13"/>
      <c r="K1836" s="13">
        <f t="shared" si="1079"/>
        <v>0</v>
      </c>
      <c r="L1836" s="13"/>
      <c r="M1836" s="12">
        <f aca="true" t="shared" si="1082" ref="M1836:M1837">ROUND(0,2)</f>
        <v>0</v>
      </c>
      <c r="N1836" s="12">
        <f t="shared" si="1080"/>
        <v>0</v>
      </c>
      <c r="O1836" s="12">
        <f aca="true" t="shared" si="1083" ref="O1836:O1837">ROUND(600,2)</f>
        <v>600</v>
      </c>
      <c r="P1836" s="14">
        <v>100</v>
      </c>
      <c r="Q1836" s="14">
        <v>0</v>
      </c>
    </row>
    <row r="1837" spans="1:17" ht="12.75" customHeight="1">
      <c r="A1837" s="15" t="s">
        <v>1162</v>
      </c>
      <c r="B1837" s="15"/>
      <c r="C1837" s="15"/>
      <c r="D1837" s="15"/>
      <c r="E1837" s="16" t="s">
        <v>1121</v>
      </c>
      <c r="F1837" s="17">
        <f t="shared" si="1077"/>
        <v>0</v>
      </c>
      <c r="G1837" s="17">
        <f>ROUND(0,2)</f>
        <v>0</v>
      </c>
      <c r="H1837" s="17">
        <f t="shared" si="1078"/>
        <v>0</v>
      </c>
      <c r="I1837" s="17">
        <f t="shared" si="1081"/>
        <v>0</v>
      </c>
      <c r="J1837" s="17"/>
      <c r="K1837" s="17">
        <f t="shared" si="1079"/>
        <v>0</v>
      </c>
      <c r="L1837" s="17"/>
      <c r="M1837" s="17">
        <f t="shared" si="1082"/>
        <v>0</v>
      </c>
      <c r="N1837" s="17">
        <f t="shared" si="1080"/>
        <v>0</v>
      </c>
      <c r="O1837" s="17">
        <f t="shared" si="1083"/>
        <v>600</v>
      </c>
      <c r="P1837" s="18">
        <v>0</v>
      </c>
      <c r="Q1837" s="18">
        <v>0</v>
      </c>
    </row>
    <row r="1838" spans="1:17" ht="12.75" customHeight="1">
      <c r="A1838" s="10"/>
      <c r="B1838" s="11" t="s">
        <v>1163</v>
      </c>
      <c r="C1838" s="11"/>
      <c r="D1838" s="11"/>
      <c r="E1838" s="12">
        <f>ROUND(332927.2,2)</f>
        <v>332927.2</v>
      </c>
      <c r="F1838" s="12">
        <f t="shared" si="1077"/>
        <v>0</v>
      </c>
      <c r="G1838" s="12">
        <f>ROUND(332927.2,2)</f>
        <v>332927.2</v>
      </c>
      <c r="H1838" s="12">
        <f>ROUND(273378.34,2)</f>
        <v>273378.34</v>
      </c>
      <c r="I1838" s="13">
        <f>ROUND(273378.34,2)</f>
        <v>273378.34</v>
      </c>
      <c r="J1838" s="13"/>
      <c r="K1838" s="13">
        <f>ROUND(273378.34,2)</f>
        <v>273378.34</v>
      </c>
      <c r="L1838" s="13"/>
      <c r="M1838" s="12">
        <f>ROUND(273378.34,2)</f>
        <v>273378.34</v>
      </c>
      <c r="N1838" s="12">
        <f>ROUND(211796.67,2)</f>
        <v>211796.67</v>
      </c>
      <c r="O1838" s="12">
        <f>ROUND(59548.86,2)</f>
        <v>59548.86</v>
      </c>
      <c r="P1838" s="14">
        <v>17.886450851717733</v>
      </c>
      <c r="Q1838" s="14">
        <v>82.11354914828227</v>
      </c>
    </row>
    <row r="1839" spans="1:17" ht="12.75" customHeight="1">
      <c r="A1839" s="15" t="s">
        <v>1164</v>
      </c>
      <c r="B1839" s="15"/>
      <c r="C1839" s="15"/>
      <c r="D1839" s="15"/>
      <c r="E1839" s="16" t="s">
        <v>1121</v>
      </c>
      <c r="F1839" s="17">
        <f t="shared" si="1077"/>
        <v>0</v>
      </c>
      <c r="G1839" s="17">
        <f aca="true" t="shared" si="1084" ref="G1839:G1841">ROUND(0,2)</f>
        <v>0</v>
      </c>
      <c r="H1839" s="17">
        <f>ROUND(0,2)</f>
        <v>0</v>
      </c>
      <c r="I1839" s="17">
        <f>ROUND(0,2)</f>
        <v>0</v>
      </c>
      <c r="J1839" s="17"/>
      <c r="K1839" s="17">
        <f>ROUND(0,2)</f>
        <v>0</v>
      </c>
      <c r="L1839" s="17"/>
      <c r="M1839" s="17">
        <f>ROUND(61581.67,2)</f>
        <v>61581.67</v>
      </c>
      <c r="N1839" s="17">
        <f>ROUND(0,2)</f>
        <v>0</v>
      </c>
      <c r="O1839" s="17">
        <f>ROUND(59548.86,2)</f>
        <v>59548.86</v>
      </c>
      <c r="P1839" s="18">
        <v>82.11354914828227</v>
      </c>
      <c r="Q1839" s="18">
        <v>77.47382985791779</v>
      </c>
    </row>
    <row r="1840" spans="1:17" ht="12.75" customHeight="1">
      <c r="A1840" s="10"/>
      <c r="B1840" s="11" t="s">
        <v>1165</v>
      </c>
      <c r="C1840" s="11"/>
      <c r="D1840" s="11"/>
      <c r="E1840" s="12">
        <f>ROUND(0,2)</f>
        <v>0</v>
      </c>
      <c r="F1840" s="12">
        <f t="shared" si="1077"/>
        <v>0</v>
      </c>
      <c r="G1840" s="12">
        <f t="shared" si="1084"/>
        <v>0</v>
      </c>
      <c r="H1840" s="12">
        <f>ROUND(1963.5,2)</f>
        <v>1963.5</v>
      </c>
      <c r="I1840" s="13">
        <f>ROUND(1963.5,2)</f>
        <v>1963.5</v>
      </c>
      <c r="J1840" s="13"/>
      <c r="K1840" s="13">
        <f>ROUND(1963.5,2)</f>
        <v>1963.5</v>
      </c>
      <c r="L1840" s="13"/>
      <c r="M1840" s="12">
        <f>ROUND(1963.5,2)</f>
        <v>1963.5</v>
      </c>
      <c r="N1840" s="12">
        <f>ROUND(1963.5,2)</f>
        <v>1963.5</v>
      </c>
      <c r="O1840" s="12">
        <f aca="true" t="shared" si="1085" ref="O1840:O1841">ROUND(-1963.5,2)</f>
        <v>-1963.5</v>
      </c>
      <c r="P1840" s="14">
        <v>0</v>
      </c>
      <c r="Q1840" s="14">
        <v>0</v>
      </c>
    </row>
    <row r="1841" spans="1:17" ht="12.75" customHeight="1">
      <c r="A1841" s="15" t="s">
        <v>1166</v>
      </c>
      <c r="B1841" s="15"/>
      <c r="C1841" s="15"/>
      <c r="D1841" s="15"/>
      <c r="E1841" s="16" t="s">
        <v>1121</v>
      </c>
      <c r="F1841" s="17">
        <f t="shared" si="1077"/>
        <v>0</v>
      </c>
      <c r="G1841" s="17">
        <f t="shared" si="1084"/>
        <v>0</v>
      </c>
      <c r="H1841" s="17">
        <f>ROUND(0,2)</f>
        <v>0</v>
      </c>
      <c r="I1841" s="17">
        <f>ROUND(0,2)</f>
        <v>0</v>
      </c>
      <c r="J1841" s="17"/>
      <c r="K1841" s="17">
        <f>ROUND(0,2)</f>
        <v>0</v>
      </c>
      <c r="L1841" s="17"/>
      <c r="M1841" s="17">
        <f>ROUND(0,2)</f>
        <v>0</v>
      </c>
      <c r="N1841" s="17">
        <f aca="true" t="shared" si="1086" ref="N1841:N1843">ROUND(0,2)</f>
        <v>0</v>
      </c>
      <c r="O1841" s="17">
        <f t="shared" si="1085"/>
        <v>-1963.5</v>
      </c>
      <c r="P1841" s="18">
        <v>0</v>
      </c>
      <c r="Q1841" s="18">
        <v>100</v>
      </c>
    </row>
    <row r="1842" spans="1:17" ht="12.75" customHeight="1">
      <c r="A1842" s="10"/>
      <c r="B1842" s="11" t="s">
        <v>1167</v>
      </c>
      <c r="C1842" s="11"/>
      <c r="D1842" s="11"/>
      <c r="E1842" s="12">
        <f>ROUND(0,2)</f>
        <v>0</v>
      </c>
      <c r="F1842" s="12">
        <f>ROUND(4830.41,2)</f>
        <v>4830.41</v>
      </c>
      <c r="G1842" s="12">
        <f>ROUND(4830.41,2)</f>
        <v>4830.41</v>
      </c>
      <c r="H1842" s="12">
        <f>ROUND(4830.41,2)</f>
        <v>4830.41</v>
      </c>
      <c r="I1842" s="13">
        <f>ROUND(4830.41,2)</f>
        <v>4830.41</v>
      </c>
      <c r="J1842" s="13"/>
      <c r="K1842" s="13">
        <f>ROUND(4830.41,2)</f>
        <v>4830.41</v>
      </c>
      <c r="L1842" s="13"/>
      <c r="M1842" s="12">
        <f aca="true" t="shared" si="1087" ref="M1842:M1843">ROUND(4830.41,2)</f>
        <v>4830.41</v>
      </c>
      <c r="N1842" s="12">
        <f t="shared" si="1086"/>
        <v>0</v>
      </c>
      <c r="O1842" s="12">
        <f aca="true" t="shared" si="1088" ref="O1842:O1843">ROUND(0,2)</f>
        <v>0</v>
      </c>
      <c r="P1842" s="14">
        <v>0</v>
      </c>
      <c r="Q1842" s="14">
        <v>100</v>
      </c>
    </row>
    <row r="1843" spans="1:17" ht="12.75" customHeight="1">
      <c r="A1843" s="15" t="s">
        <v>1168</v>
      </c>
      <c r="B1843" s="15"/>
      <c r="C1843" s="15"/>
      <c r="D1843" s="15"/>
      <c r="E1843" s="16" t="s">
        <v>1167</v>
      </c>
      <c r="F1843" s="17">
        <f>ROUND(0,2)</f>
        <v>0</v>
      </c>
      <c r="G1843" s="17">
        <f>ROUND(0,2)</f>
        <v>0</v>
      </c>
      <c r="H1843" s="17">
        <f>ROUND(0,2)</f>
        <v>0</v>
      </c>
      <c r="I1843" s="17">
        <f>ROUND(0,2)</f>
        <v>0</v>
      </c>
      <c r="J1843" s="17"/>
      <c r="K1843" s="17">
        <f>ROUND(0,2)</f>
        <v>0</v>
      </c>
      <c r="L1843" s="17"/>
      <c r="M1843" s="17">
        <f t="shared" si="1087"/>
        <v>4830.41</v>
      </c>
      <c r="N1843" s="17">
        <f t="shared" si="1086"/>
        <v>0</v>
      </c>
      <c r="O1843" s="17">
        <f t="shared" si="1088"/>
        <v>0</v>
      </c>
      <c r="P1843" s="18">
        <v>100</v>
      </c>
      <c r="Q1843" s="18">
        <v>0</v>
      </c>
    </row>
    <row r="1844" spans="1:17" ht="12.75" customHeight="1">
      <c r="A1844" s="19" t="s">
        <v>37</v>
      </c>
      <c r="B1844" s="19"/>
      <c r="C1844" s="19"/>
      <c r="D1844" s="19"/>
      <c r="E1844" s="20">
        <f>SUM('DS1'!$A$466:$A$470)</f>
        <v>633527.2</v>
      </c>
      <c r="F1844" s="20">
        <v>4830.41</v>
      </c>
      <c r="G1844" s="20">
        <v>638357.61</v>
      </c>
      <c r="H1844" s="20">
        <v>444352.29</v>
      </c>
      <c r="I1844" s="21">
        <v>444352.29</v>
      </c>
      <c r="J1844" s="21"/>
      <c r="K1844" s="21">
        <v>395408.86</v>
      </c>
      <c r="L1844" s="21"/>
      <c r="M1844" s="20">
        <v>395408.86</v>
      </c>
      <c r="N1844" s="20">
        <v>318278.67</v>
      </c>
      <c r="O1844" s="20">
        <v>186210.87</v>
      </c>
      <c r="P1844" s="22">
        <v>29.170306280205544</v>
      </c>
      <c r="Q1844" s="22">
        <v>61.94159101510516</v>
      </c>
    </row>
    <row r="1845" spans="1:17" ht="12.75" customHeight="1">
      <c r="A1845" s="23"/>
      <c r="B1845" s="24"/>
      <c r="C1845" s="24"/>
      <c r="D1845" s="24"/>
      <c r="E1845" s="23"/>
      <c r="F1845" s="20">
        <v>0</v>
      </c>
      <c r="G1845" s="20">
        <v>7794.450000000012</v>
      </c>
      <c r="H1845" s="20">
        <v>0</v>
      </c>
      <c r="I1845" s="21">
        <v>48943.43000000001</v>
      </c>
      <c r="J1845" s="21"/>
      <c r="K1845" s="21">
        <v>0</v>
      </c>
      <c r="L1845" s="21"/>
      <c r="M1845" s="20">
        <v>77130.19000000002</v>
      </c>
      <c r="N1845" s="20">
        <v>0</v>
      </c>
      <c r="O1845" s="20">
        <v>242948.75</v>
      </c>
      <c r="P1845" s="22">
        <v>69.60867749348206</v>
      </c>
      <c r="Q1845" s="22">
        <v>80.49356051354034</v>
      </c>
    </row>
    <row r="1846" spans="1:17" ht="20.25" customHeight="1">
      <c r="A1846" s="23"/>
      <c r="B1846" s="24"/>
      <c r="C1846" s="24"/>
      <c r="D1846" s="24"/>
      <c r="E1846" s="23"/>
      <c r="F1846" s="23"/>
      <c r="G1846" s="23"/>
      <c r="H1846" s="23"/>
      <c r="I1846" s="24"/>
      <c r="J1846" s="24"/>
      <c r="K1846" s="24"/>
      <c r="L1846" s="24"/>
      <c r="M1846" s="23"/>
      <c r="N1846" s="23"/>
      <c r="O1846" s="23"/>
      <c r="P1846" s="23"/>
      <c r="Q1846" s="23"/>
    </row>
    <row r="1847" spans="1:17" ht="12.75" customHeight="1">
      <c r="A1847" s="10"/>
      <c r="B1847" s="11" t="s">
        <v>1169</v>
      </c>
      <c r="C1847" s="11"/>
      <c r="D1847" s="11"/>
      <c r="E1847" s="12">
        <f>ROUND(8000,2)</f>
        <v>8000</v>
      </c>
      <c r="F1847" s="12">
        <f aca="true" t="shared" si="1089" ref="F1847:F1848">ROUND(0,2)</f>
        <v>0</v>
      </c>
      <c r="G1847" s="12">
        <f>ROUND(8000,2)</f>
        <v>8000</v>
      </c>
      <c r="H1847" s="12">
        <f>ROUND(9953.62,2)</f>
        <v>9953.62</v>
      </c>
      <c r="I1847" s="13">
        <f>ROUND(9953.62,2)</f>
        <v>9953.62</v>
      </c>
      <c r="J1847" s="13"/>
      <c r="K1847" s="13">
        <f>ROUND(9953.62,2)</f>
        <v>9953.62</v>
      </c>
      <c r="L1847" s="13"/>
      <c r="M1847" s="12">
        <f>ROUND(9953.62,2)</f>
        <v>9953.62</v>
      </c>
      <c r="N1847" s="12">
        <f>ROUND(9684.34,2)</f>
        <v>9684.34</v>
      </c>
      <c r="O1847" s="12">
        <f>ROUND(-1953.62,2)</f>
        <v>-1953.62</v>
      </c>
      <c r="P1847" s="14">
        <v>-24.42025</v>
      </c>
      <c r="Q1847" s="14">
        <v>124.42025000000001</v>
      </c>
    </row>
    <row r="1848" spans="1:17" ht="12.75" customHeight="1">
      <c r="A1848" s="15" t="s">
        <v>1170</v>
      </c>
      <c r="B1848" s="15"/>
      <c r="C1848" s="15"/>
      <c r="D1848" s="15"/>
      <c r="E1848" s="16" t="s">
        <v>1171</v>
      </c>
      <c r="F1848" s="17">
        <f t="shared" si="1089"/>
        <v>0</v>
      </c>
      <c r="G1848" s="17">
        <f>ROUND(0,2)</f>
        <v>0</v>
      </c>
      <c r="H1848" s="17">
        <f>ROUND(0,2)</f>
        <v>0</v>
      </c>
      <c r="I1848" s="17">
        <f>ROUND(0,2)</f>
        <v>0</v>
      </c>
      <c r="J1848" s="17"/>
      <c r="K1848" s="17">
        <f>ROUND(0,2)</f>
        <v>0</v>
      </c>
      <c r="L1848" s="17"/>
      <c r="M1848" s="17">
        <f>ROUND(269.280000000001,2)</f>
        <v>269.28</v>
      </c>
      <c r="N1848" s="17">
        <f>ROUND(0,2)</f>
        <v>0</v>
      </c>
      <c r="O1848" s="17">
        <f>ROUND(-1953.62,2)</f>
        <v>-1953.62</v>
      </c>
      <c r="P1848" s="18">
        <v>124.42025000000001</v>
      </c>
      <c r="Q1848" s="18">
        <v>97.294652598753</v>
      </c>
    </row>
    <row r="1849" spans="1:17" ht="12.75" customHeight="1">
      <c r="A1849" s="19" t="s">
        <v>132</v>
      </c>
      <c r="B1849" s="19"/>
      <c r="C1849" s="19"/>
      <c r="D1849" s="19"/>
      <c r="E1849" s="20">
        <f>SUM('DS1'!$A$471)</f>
        <v>8000</v>
      </c>
      <c r="F1849" s="20">
        <v>0</v>
      </c>
      <c r="G1849" s="20">
        <v>8000</v>
      </c>
      <c r="H1849" s="20">
        <v>9953.62</v>
      </c>
      <c r="I1849" s="21">
        <v>9953.62</v>
      </c>
      <c r="J1849" s="21"/>
      <c r="K1849" s="21">
        <v>9953.62</v>
      </c>
      <c r="L1849" s="21"/>
      <c r="M1849" s="20">
        <v>9953.62</v>
      </c>
      <c r="N1849" s="20">
        <v>9684.34</v>
      </c>
      <c r="O1849" s="20">
        <v>-1953.62</v>
      </c>
      <c r="P1849" s="22">
        <v>-24.42025</v>
      </c>
      <c r="Q1849" s="22">
        <v>124.42025000000001</v>
      </c>
    </row>
    <row r="1850" spans="1:17" ht="12.75" customHeight="1">
      <c r="A1850" s="23"/>
      <c r="B1850" s="24"/>
      <c r="C1850" s="24"/>
      <c r="D1850" s="24"/>
      <c r="E1850" s="23"/>
      <c r="F1850" s="20">
        <v>0</v>
      </c>
      <c r="G1850" s="20">
        <v>0</v>
      </c>
      <c r="H1850" s="20">
        <v>0</v>
      </c>
      <c r="I1850" s="21">
        <v>0</v>
      </c>
      <c r="J1850" s="21"/>
      <c r="K1850" s="21">
        <v>0</v>
      </c>
      <c r="L1850" s="21"/>
      <c r="M1850" s="20">
        <v>269.28000000000065</v>
      </c>
      <c r="N1850" s="20">
        <v>0</v>
      </c>
      <c r="O1850" s="20">
        <v>-1953.6200000000008</v>
      </c>
      <c r="P1850" s="22">
        <v>124.42025000000001</v>
      </c>
      <c r="Q1850" s="22">
        <v>97.294652598753</v>
      </c>
    </row>
    <row r="1851" spans="1:17" ht="20.25" customHeight="1">
      <c r="A1851" s="23"/>
      <c r="B1851" s="24"/>
      <c r="C1851" s="24"/>
      <c r="D1851" s="24"/>
      <c r="E1851" s="23"/>
      <c r="F1851" s="23"/>
      <c r="G1851" s="23"/>
      <c r="H1851" s="23"/>
      <c r="I1851" s="24"/>
      <c r="J1851" s="24"/>
      <c r="K1851" s="24"/>
      <c r="L1851" s="24"/>
      <c r="M1851" s="23"/>
      <c r="N1851" s="23"/>
      <c r="O1851" s="23"/>
      <c r="P1851" s="23"/>
      <c r="Q1851" s="23"/>
    </row>
    <row r="1852" spans="1:17" ht="12.75" customHeight="1">
      <c r="A1852" s="10"/>
      <c r="B1852" s="11" t="s">
        <v>1172</v>
      </c>
      <c r="C1852" s="11"/>
      <c r="D1852" s="11"/>
      <c r="E1852" s="12">
        <f>ROUND(20000,2)</f>
        <v>20000</v>
      </c>
      <c r="F1852" s="12">
        <f aca="true" t="shared" si="1090" ref="F1852:F1853">ROUND(0,2)</f>
        <v>0</v>
      </c>
      <c r="G1852" s="12">
        <f>ROUND(20000,2)</f>
        <v>20000</v>
      </c>
      <c r="H1852" s="12">
        <f>ROUND(14778.96,2)</f>
        <v>14778.96</v>
      </c>
      <c r="I1852" s="13">
        <f>ROUND(14778.96,2)</f>
        <v>14778.96</v>
      </c>
      <c r="J1852" s="13"/>
      <c r="K1852" s="13">
        <f>ROUND(14778.96,2)</f>
        <v>14778.96</v>
      </c>
      <c r="L1852" s="13"/>
      <c r="M1852" s="12">
        <f>ROUND(14778.96,2)</f>
        <v>14778.96</v>
      </c>
      <c r="N1852" s="12">
        <f>ROUND(14778.96,2)</f>
        <v>14778.96</v>
      </c>
      <c r="O1852" s="12">
        <f>ROUND(5221.04,2)</f>
        <v>5221.04</v>
      </c>
      <c r="P1852" s="14">
        <v>26.1052</v>
      </c>
      <c r="Q1852" s="14">
        <v>73.89479999999999</v>
      </c>
    </row>
    <row r="1853" spans="1:17" ht="12.75" customHeight="1">
      <c r="A1853" s="15" t="s">
        <v>1173</v>
      </c>
      <c r="B1853" s="15"/>
      <c r="C1853" s="15"/>
      <c r="D1853" s="15"/>
      <c r="E1853" s="16" t="s">
        <v>1171</v>
      </c>
      <c r="F1853" s="17">
        <f t="shared" si="1090"/>
        <v>0</v>
      </c>
      <c r="G1853" s="17">
        <f>ROUND(0,2)</f>
        <v>0</v>
      </c>
      <c r="H1853" s="17">
        <f>ROUND(0,2)</f>
        <v>0</v>
      </c>
      <c r="I1853" s="17">
        <f>ROUND(0,2)</f>
        <v>0</v>
      </c>
      <c r="J1853" s="17"/>
      <c r="K1853" s="17">
        <f>ROUND(0,2)</f>
        <v>0</v>
      </c>
      <c r="L1853" s="17"/>
      <c r="M1853" s="17">
        <f>ROUND(0,2)</f>
        <v>0</v>
      </c>
      <c r="N1853" s="17">
        <f>ROUND(0,2)</f>
        <v>0</v>
      </c>
      <c r="O1853" s="17">
        <f>ROUND(5221.04,2)</f>
        <v>5221.04</v>
      </c>
      <c r="P1853" s="18">
        <v>73.89479999999999</v>
      </c>
      <c r="Q1853" s="18">
        <v>100</v>
      </c>
    </row>
    <row r="1854" spans="1:17" ht="12.75" customHeight="1">
      <c r="A1854" s="19" t="s">
        <v>1044</v>
      </c>
      <c r="B1854" s="19"/>
      <c r="C1854" s="19"/>
      <c r="D1854" s="19"/>
      <c r="E1854" s="20">
        <f>SUM('DS1'!$A$472)</f>
        <v>20000</v>
      </c>
      <c r="F1854" s="20">
        <v>0</v>
      </c>
      <c r="G1854" s="20">
        <v>20000</v>
      </c>
      <c r="H1854" s="20">
        <v>14778.96</v>
      </c>
      <c r="I1854" s="21">
        <v>14778.96</v>
      </c>
      <c r="J1854" s="21"/>
      <c r="K1854" s="21">
        <v>14778.96</v>
      </c>
      <c r="L1854" s="21"/>
      <c r="M1854" s="20">
        <v>14778.96</v>
      </c>
      <c r="N1854" s="20">
        <v>14778.96</v>
      </c>
      <c r="O1854" s="20">
        <v>5221.04</v>
      </c>
      <c r="P1854" s="22">
        <v>26.1052</v>
      </c>
      <c r="Q1854" s="22">
        <v>73.89479999999999</v>
      </c>
    </row>
    <row r="1855" spans="1:17" ht="12.75" customHeight="1">
      <c r="A1855" s="23"/>
      <c r="B1855" s="24"/>
      <c r="C1855" s="24"/>
      <c r="D1855" s="24"/>
      <c r="E1855" s="23"/>
      <c r="F1855" s="20">
        <v>0</v>
      </c>
      <c r="G1855" s="20">
        <v>0</v>
      </c>
      <c r="H1855" s="20">
        <v>0</v>
      </c>
      <c r="I1855" s="21">
        <v>0</v>
      </c>
      <c r="J1855" s="21"/>
      <c r="K1855" s="21">
        <v>0</v>
      </c>
      <c r="L1855" s="21"/>
      <c r="M1855" s="20">
        <v>0</v>
      </c>
      <c r="N1855" s="20">
        <v>0</v>
      </c>
      <c r="O1855" s="20">
        <v>5221.040000000001</v>
      </c>
      <c r="P1855" s="22">
        <v>73.89479999999999</v>
      </c>
      <c r="Q1855" s="22">
        <v>100</v>
      </c>
    </row>
    <row r="1856" spans="1:17" ht="20.25" customHeight="1">
      <c r="A1856" s="23"/>
      <c r="B1856" s="24"/>
      <c r="C1856" s="24"/>
      <c r="D1856" s="24"/>
      <c r="E1856" s="23"/>
      <c r="F1856" s="23"/>
      <c r="G1856" s="23"/>
      <c r="H1856" s="23"/>
      <c r="I1856" s="24"/>
      <c r="J1856" s="24"/>
      <c r="K1856" s="24"/>
      <c r="L1856" s="24"/>
      <c r="M1856" s="23"/>
      <c r="N1856" s="23"/>
      <c r="O1856" s="23"/>
      <c r="P1856" s="23"/>
      <c r="Q1856" s="23"/>
    </row>
    <row r="1857" spans="1:17" ht="12.75" customHeight="1">
      <c r="A1857" s="10"/>
      <c r="B1857" s="11" t="s">
        <v>1174</v>
      </c>
      <c r="C1857" s="11"/>
      <c r="D1857" s="11"/>
      <c r="E1857" s="12">
        <f>ROUND(146000,2)</f>
        <v>146000</v>
      </c>
      <c r="F1857" s="12">
        <f>ROUND(-143000,2)</f>
        <v>-143000</v>
      </c>
      <c r="G1857" s="12">
        <f>ROUND(3000,2)</f>
        <v>3000</v>
      </c>
      <c r="H1857" s="12">
        <f>ROUND(3000,2)</f>
        <v>3000</v>
      </c>
      <c r="I1857" s="13">
        <f>ROUND(3000,2)</f>
        <v>3000</v>
      </c>
      <c r="J1857" s="13"/>
      <c r="K1857" s="13">
        <f>ROUND(3000,2)</f>
        <v>3000</v>
      </c>
      <c r="L1857" s="13"/>
      <c r="M1857" s="12">
        <f>ROUND(3000,2)</f>
        <v>3000</v>
      </c>
      <c r="N1857" s="12">
        <f>ROUND(3000,2)</f>
        <v>3000</v>
      </c>
      <c r="O1857" s="12">
        <f aca="true" t="shared" si="1091" ref="O1857:O1858">ROUND(0,2)</f>
        <v>0</v>
      </c>
      <c r="P1857" s="14">
        <v>0</v>
      </c>
      <c r="Q1857" s="14">
        <v>100</v>
      </c>
    </row>
    <row r="1858" spans="1:17" ht="12.75" customHeight="1">
      <c r="A1858" s="15" t="s">
        <v>1175</v>
      </c>
      <c r="B1858" s="15"/>
      <c r="C1858" s="15"/>
      <c r="D1858" s="15"/>
      <c r="E1858" s="16" t="s">
        <v>1176</v>
      </c>
      <c r="F1858" s="17">
        <f>ROUND(0,2)</f>
        <v>0</v>
      </c>
      <c r="G1858" s="17">
        <f>ROUND(0,2)</f>
        <v>0</v>
      </c>
      <c r="H1858" s="17">
        <f>ROUND(0,2)</f>
        <v>0</v>
      </c>
      <c r="I1858" s="17">
        <f>ROUND(0,2)</f>
        <v>0</v>
      </c>
      <c r="J1858" s="17"/>
      <c r="K1858" s="17">
        <f>ROUND(0,2)</f>
        <v>0</v>
      </c>
      <c r="L1858" s="17"/>
      <c r="M1858" s="17">
        <f>ROUND(0,2)</f>
        <v>0</v>
      </c>
      <c r="N1858" s="17">
        <f>ROUND(0,2)</f>
        <v>0</v>
      </c>
      <c r="O1858" s="17">
        <f t="shared" si="1091"/>
        <v>0</v>
      </c>
      <c r="P1858" s="18">
        <v>2.054794520547945</v>
      </c>
      <c r="Q1858" s="18">
        <v>100</v>
      </c>
    </row>
    <row r="1859" spans="1:17" ht="12.75" customHeight="1">
      <c r="A1859" s="19" t="s">
        <v>461</v>
      </c>
      <c r="B1859" s="19"/>
      <c r="C1859" s="19"/>
      <c r="D1859" s="19"/>
      <c r="E1859" s="20">
        <f>SUM('DS1'!$A$473)</f>
        <v>146000</v>
      </c>
      <c r="F1859" s="20">
        <v>-143000</v>
      </c>
      <c r="G1859" s="20">
        <v>3000</v>
      </c>
      <c r="H1859" s="20">
        <v>3000</v>
      </c>
      <c r="I1859" s="21">
        <v>3000</v>
      </c>
      <c r="J1859" s="21"/>
      <c r="K1859" s="21">
        <v>3000</v>
      </c>
      <c r="L1859" s="21"/>
      <c r="M1859" s="20">
        <v>3000</v>
      </c>
      <c r="N1859" s="20">
        <v>3000</v>
      </c>
      <c r="O1859" s="20">
        <v>0</v>
      </c>
      <c r="P1859" s="22">
        <v>0</v>
      </c>
      <c r="Q1859" s="22">
        <v>100</v>
      </c>
    </row>
    <row r="1860" spans="1:17" ht="12.75" customHeight="1">
      <c r="A1860" s="23"/>
      <c r="B1860" s="24"/>
      <c r="C1860" s="24"/>
      <c r="D1860" s="24"/>
      <c r="E1860" s="23"/>
      <c r="F1860" s="20">
        <v>0</v>
      </c>
      <c r="G1860" s="20">
        <v>0</v>
      </c>
      <c r="H1860" s="20">
        <v>0</v>
      </c>
      <c r="I1860" s="21">
        <v>0</v>
      </c>
      <c r="J1860" s="21"/>
      <c r="K1860" s="21">
        <v>0</v>
      </c>
      <c r="L1860" s="21"/>
      <c r="M1860" s="20">
        <v>0</v>
      </c>
      <c r="N1860" s="20">
        <v>0</v>
      </c>
      <c r="O1860" s="20">
        <v>0</v>
      </c>
      <c r="P1860" s="22">
        <v>100</v>
      </c>
      <c r="Q1860" s="22">
        <v>100</v>
      </c>
    </row>
    <row r="1861" spans="1:17" ht="20.25" customHeight="1">
      <c r="A1861" s="23"/>
      <c r="B1861" s="24"/>
      <c r="C1861" s="24"/>
      <c r="D1861" s="24"/>
      <c r="E1861" s="23"/>
      <c r="F1861" s="23"/>
      <c r="G1861" s="23"/>
      <c r="H1861" s="23"/>
      <c r="I1861" s="24"/>
      <c r="J1861" s="24"/>
      <c r="K1861" s="24"/>
      <c r="L1861" s="24"/>
      <c r="M1861" s="23"/>
      <c r="N1861" s="23"/>
      <c r="O1861" s="23"/>
      <c r="P1861" s="23"/>
      <c r="Q1861" s="23"/>
    </row>
    <row r="1862" spans="1:17" ht="12.75" customHeight="1">
      <c r="A1862" s="10" t="s">
        <v>83</v>
      </c>
      <c r="B1862" s="11" t="s">
        <v>1177</v>
      </c>
      <c r="C1862" s="11"/>
      <c r="D1862" s="11"/>
      <c r="E1862" s="12">
        <f>ROUND(0,2)</f>
        <v>0</v>
      </c>
      <c r="F1862" s="12">
        <f aca="true" t="shared" si="1092" ref="F1862:F1863">ROUND(11422.18,2)</f>
        <v>11422.18</v>
      </c>
      <c r="G1862" s="12">
        <f>ROUND(11422.18,2)</f>
        <v>11422.18</v>
      </c>
      <c r="H1862" s="12">
        <f>ROUND(11410.31,2)</f>
        <v>11410.31</v>
      </c>
      <c r="I1862" s="13">
        <f>ROUND(11410.31,2)</f>
        <v>11410.31</v>
      </c>
      <c r="J1862" s="13"/>
      <c r="K1862" s="13">
        <f>ROUND(11410.31,2)</f>
        <v>11410.31</v>
      </c>
      <c r="L1862" s="13"/>
      <c r="M1862" s="12">
        <f>ROUND(11410.31,2)</f>
        <v>11410.31</v>
      </c>
      <c r="N1862" s="12">
        <f>ROUND(11410.31,2)</f>
        <v>11410.31</v>
      </c>
      <c r="O1862" s="12">
        <f>ROUND(11.87,2)</f>
        <v>11.87</v>
      </c>
      <c r="P1862" s="14">
        <v>0.10392061760539581</v>
      </c>
      <c r="Q1862" s="14">
        <v>99.8960793823946</v>
      </c>
    </row>
    <row r="1863" spans="1:17" ht="12.75" customHeight="1">
      <c r="A1863" s="15" t="s">
        <v>1178</v>
      </c>
      <c r="B1863" s="15"/>
      <c r="C1863" s="15"/>
      <c r="D1863" s="15"/>
      <c r="E1863" s="16" t="s">
        <v>1179</v>
      </c>
      <c r="F1863" s="17">
        <f t="shared" si="1092"/>
        <v>11422.18</v>
      </c>
      <c r="G1863" s="17">
        <f>ROUND(0,2)</f>
        <v>0</v>
      </c>
      <c r="H1863" s="17">
        <f>ROUND(0,2)</f>
        <v>0</v>
      </c>
      <c r="I1863" s="17">
        <f>ROUND(0,2)</f>
        <v>0</v>
      </c>
      <c r="J1863" s="17"/>
      <c r="K1863" s="17">
        <f>ROUND(0,2)</f>
        <v>0</v>
      </c>
      <c r="L1863" s="17"/>
      <c r="M1863" s="17">
        <f>ROUND(0,2)</f>
        <v>0</v>
      </c>
      <c r="N1863" s="17">
        <f>ROUND(0,2)</f>
        <v>0</v>
      </c>
      <c r="O1863" s="17">
        <f>ROUND(11.8700000000008,2)</f>
        <v>11.87</v>
      </c>
      <c r="P1863" s="18">
        <v>99.8960793823946</v>
      </c>
      <c r="Q1863" s="18">
        <v>100</v>
      </c>
    </row>
    <row r="1864" spans="1:17" ht="12.75" customHeight="1">
      <c r="A1864" s="19" t="s">
        <v>316</v>
      </c>
      <c r="B1864" s="19"/>
      <c r="C1864" s="19"/>
      <c r="D1864" s="19"/>
      <c r="E1864" s="20">
        <f>SUM('DS1'!$A$474)</f>
        <v>0</v>
      </c>
      <c r="F1864" s="20">
        <v>11422.18</v>
      </c>
      <c r="G1864" s="20">
        <v>11422.18</v>
      </c>
      <c r="H1864" s="20">
        <v>11410.31</v>
      </c>
      <c r="I1864" s="21">
        <v>11410.31</v>
      </c>
      <c r="J1864" s="21"/>
      <c r="K1864" s="21">
        <v>11410.31</v>
      </c>
      <c r="L1864" s="21"/>
      <c r="M1864" s="20">
        <v>11410.31</v>
      </c>
      <c r="N1864" s="20">
        <v>11410.31</v>
      </c>
      <c r="O1864" s="20">
        <v>11.87</v>
      </c>
      <c r="P1864" s="22">
        <v>0.10392061760539581</v>
      </c>
      <c r="Q1864" s="22">
        <v>99.8960793823946</v>
      </c>
    </row>
    <row r="1865" spans="1:17" ht="12.75" customHeight="1">
      <c r="A1865" s="23"/>
      <c r="B1865" s="24"/>
      <c r="C1865" s="24"/>
      <c r="D1865" s="24"/>
      <c r="E1865" s="23"/>
      <c r="F1865" s="20">
        <v>11422.18</v>
      </c>
      <c r="G1865" s="20">
        <v>0</v>
      </c>
      <c r="H1865" s="20">
        <v>0</v>
      </c>
      <c r="I1865" s="21">
        <v>0</v>
      </c>
      <c r="J1865" s="21"/>
      <c r="K1865" s="21">
        <v>0</v>
      </c>
      <c r="L1865" s="21"/>
      <c r="M1865" s="20">
        <v>0</v>
      </c>
      <c r="N1865" s="20">
        <v>0</v>
      </c>
      <c r="O1865" s="20">
        <v>11.8700000000008</v>
      </c>
      <c r="P1865" s="22">
        <v>99.8960793823946</v>
      </c>
      <c r="Q1865" s="22">
        <v>100</v>
      </c>
    </row>
    <row r="1866" spans="1:17" ht="20.25" customHeight="1">
      <c r="A1866" s="23"/>
      <c r="B1866" s="24"/>
      <c r="C1866" s="24"/>
      <c r="D1866" s="24"/>
      <c r="E1866" s="23"/>
      <c r="F1866" s="23"/>
      <c r="G1866" s="23"/>
      <c r="H1866" s="23"/>
      <c r="I1866" s="24"/>
      <c r="J1866" s="24"/>
      <c r="K1866" s="24"/>
      <c r="L1866" s="24"/>
      <c r="M1866" s="23"/>
      <c r="N1866" s="23"/>
      <c r="O1866" s="23"/>
      <c r="P1866" s="23"/>
      <c r="Q1866" s="23"/>
    </row>
    <row r="1867" spans="1:17" ht="12.75" customHeight="1">
      <c r="A1867" s="10"/>
      <c r="B1867" s="11" t="s">
        <v>1180</v>
      </c>
      <c r="C1867" s="11"/>
      <c r="D1867" s="11"/>
      <c r="E1867" s="12">
        <f>ROUND(145000,2)</f>
        <v>145000</v>
      </c>
      <c r="F1867" s="12">
        <f>ROUND(-27500,2)</f>
        <v>-27500</v>
      </c>
      <c r="G1867" s="12">
        <f>ROUND(117500,2)</f>
        <v>117500</v>
      </c>
      <c r="H1867" s="12">
        <f aca="true" t="shared" si="1093" ref="H1867:H1868">ROUND(0,2)</f>
        <v>0</v>
      </c>
      <c r="I1867" s="13">
        <f aca="true" t="shared" si="1094" ref="I1867:I1868">ROUND(0,2)</f>
        <v>0</v>
      </c>
      <c r="J1867" s="13"/>
      <c r="K1867" s="13">
        <f aca="true" t="shared" si="1095" ref="K1867:K1868">ROUND(0,2)</f>
        <v>0</v>
      </c>
      <c r="L1867" s="13"/>
      <c r="M1867" s="12">
        <f aca="true" t="shared" si="1096" ref="M1867:M1868">ROUND(0,2)</f>
        <v>0</v>
      </c>
      <c r="N1867" s="12">
        <f aca="true" t="shared" si="1097" ref="N1867:N1868">ROUND(0,2)</f>
        <v>0</v>
      </c>
      <c r="O1867" s="12">
        <f aca="true" t="shared" si="1098" ref="O1867:O1868">ROUND(117500,2)</f>
        <v>117500</v>
      </c>
      <c r="P1867" s="14">
        <v>100</v>
      </c>
      <c r="Q1867" s="14">
        <v>0</v>
      </c>
    </row>
    <row r="1868" spans="1:17" ht="12.75" customHeight="1">
      <c r="A1868" s="15" t="s">
        <v>1181</v>
      </c>
      <c r="B1868" s="15"/>
      <c r="C1868" s="15"/>
      <c r="D1868" s="15"/>
      <c r="E1868" s="16" t="s">
        <v>1182</v>
      </c>
      <c r="F1868" s="17">
        <f>ROUND(0,2)</f>
        <v>0</v>
      </c>
      <c r="G1868" s="17">
        <f>ROUND(0,2)</f>
        <v>0</v>
      </c>
      <c r="H1868" s="17">
        <f t="shared" si="1093"/>
        <v>0</v>
      </c>
      <c r="I1868" s="17">
        <f t="shared" si="1094"/>
        <v>0</v>
      </c>
      <c r="J1868" s="17"/>
      <c r="K1868" s="17">
        <f t="shared" si="1095"/>
        <v>0</v>
      </c>
      <c r="L1868" s="17"/>
      <c r="M1868" s="17">
        <f t="shared" si="1096"/>
        <v>0</v>
      </c>
      <c r="N1868" s="17">
        <f t="shared" si="1097"/>
        <v>0</v>
      </c>
      <c r="O1868" s="17">
        <f t="shared" si="1098"/>
        <v>117500</v>
      </c>
      <c r="P1868" s="18">
        <v>0</v>
      </c>
      <c r="Q1868" s="18">
        <v>0</v>
      </c>
    </row>
    <row r="1869" spans="1:17" ht="12.75" customHeight="1">
      <c r="A1869" s="10" t="s">
        <v>83</v>
      </c>
      <c r="B1869" s="11" t="s">
        <v>1183</v>
      </c>
      <c r="C1869" s="11"/>
      <c r="D1869" s="11"/>
      <c r="E1869" s="12">
        <f>ROUND(0,2)</f>
        <v>0</v>
      </c>
      <c r="F1869" s="12">
        <f aca="true" t="shared" si="1099" ref="F1869:F1870">ROUND(112125.92,2)</f>
        <v>112125.92</v>
      </c>
      <c r="G1869" s="12">
        <f>ROUND(112125.92,2)</f>
        <v>112125.92</v>
      </c>
      <c r="H1869" s="12">
        <f>ROUND(111160.09,2)</f>
        <v>111160.09</v>
      </c>
      <c r="I1869" s="13">
        <f>ROUND(111160.09,2)</f>
        <v>111160.09</v>
      </c>
      <c r="J1869" s="13"/>
      <c r="K1869" s="13">
        <f>ROUND(111160.09,2)</f>
        <v>111160.09</v>
      </c>
      <c r="L1869" s="13"/>
      <c r="M1869" s="12">
        <f>ROUND(111160.09,2)</f>
        <v>111160.09</v>
      </c>
      <c r="N1869" s="12">
        <f>ROUND(111160.09,2)</f>
        <v>111160.09</v>
      </c>
      <c r="O1869" s="12">
        <f>ROUND(965.83,2)</f>
        <v>965.83</v>
      </c>
      <c r="P1869" s="14">
        <v>0.8613797773075129</v>
      </c>
      <c r="Q1869" s="14">
        <v>99.13862022269248</v>
      </c>
    </row>
    <row r="1870" spans="1:17" ht="12.75" customHeight="1">
      <c r="A1870" s="15" t="s">
        <v>1184</v>
      </c>
      <c r="B1870" s="15"/>
      <c r="C1870" s="15"/>
      <c r="D1870" s="15"/>
      <c r="E1870" s="16" t="s">
        <v>1185</v>
      </c>
      <c r="F1870" s="17">
        <f t="shared" si="1099"/>
        <v>112125.92</v>
      </c>
      <c r="G1870" s="17">
        <f>ROUND(0,2)</f>
        <v>0</v>
      </c>
      <c r="H1870" s="17">
        <f>ROUND(0,2)</f>
        <v>0</v>
      </c>
      <c r="I1870" s="17">
        <f>ROUND(0,2)</f>
        <v>0</v>
      </c>
      <c r="J1870" s="17"/>
      <c r="K1870" s="17">
        <f>ROUND(0,2)</f>
        <v>0</v>
      </c>
      <c r="L1870" s="17"/>
      <c r="M1870" s="17">
        <f>ROUND(0,2)</f>
        <v>0</v>
      </c>
      <c r="N1870" s="17">
        <f>ROUND(0,2)</f>
        <v>0</v>
      </c>
      <c r="O1870" s="17">
        <f>ROUND(965.830000000002,2)</f>
        <v>965.83</v>
      </c>
      <c r="P1870" s="18">
        <v>99.13862022269248</v>
      </c>
      <c r="Q1870" s="18">
        <v>100</v>
      </c>
    </row>
    <row r="1871" spans="1:17" ht="12.75" customHeight="1">
      <c r="A1871" s="19" t="s">
        <v>680</v>
      </c>
      <c r="B1871" s="19"/>
      <c r="C1871" s="19"/>
      <c r="D1871" s="19"/>
      <c r="E1871" s="20">
        <f>SUM('DS1'!$A$475:$A$476)</f>
        <v>145000</v>
      </c>
      <c r="F1871" s="20">
        <v>84625.92</v>
      </c>
      <c r="G1871" s="20">
        <v>229625.92</v>
      </c>
      <c r="H1871" s="20">
        <v>111160.09</v>
      </c>
      <c r="I1871" s="21">
        <v>111160.09</v>
      </c>
      <c r="J1871" s="21"/>
      <c r="K1871" s="21">
        <v>111160.09</v>
      </c>
      <c r="L1871" s="21"/>
      <c r="M1871" s="20">
        <v>111160.09</v>
      </c>
      <c r="N1871" s="20">
        <v>111160.09</v>
      </c>
      <c r="O1871" s="20">
        <v>118465.83</v>
      </c>
      <c r="P1871" s="22">
        <v>51.59079166672473</v>
      </c>
      <c r="Q1871" s="22">
        <v>48.409208333275274</v>
      </c>
    </row>
    <row r="1872" spans="1:17" ht="12.75" customHeight="1">
      <c r="A1872" s="23"/>
      <c r="B1872" s="24"/>
      <c r="C1872" s="24"/>
      <c r="D1872" s="24"/>
      <c r="E1872" s="23"/>
      <c r="F1872" s="20">
        <v>112125.92</v>
      </c>
      <c r="G1872" s="20">
        <v>0</v>
      </c>
      <c r="H1872" s="20">
        <v>0</v>
      </c>
      <c r="I1872" s="21">
        <v>0</v>
      </c>
      <c r="J1872" s="21"/>
      <c r="K1872" s="21">
        <v>0</v>
      </c>
      <c r="L1872" s="21"/>
      <c r="M1872" s="20">
        <v>0</v>
      </c>
      <c r="N1872" s="20">
        <v>0</v>
      </c>
      <c r="O1872" s="20">
        <v>118465.83</v>
      </c>
      <c r="P1872" s="22">
        <v>48.409208333275274</v>
      </c>
      <c r="Q1872" s="22">
        <v>100</v>
      </c>
    </row>
    <row r="1873" spans="1:17" ht="20.25" customHeight="1">
      <c r="A1873" s="23"/>
      <c r="B1873" s="24"/>
      <c r="C1873" s="24"/>
      <c r="D1873" s="24"/>
      <c r="E1873" s="23"/>
      <c r="F1873" s="23"/>
      <c r="G1873" s="23"/>
      <c r="H1873" s="23"/>
      <c r="I1873" s="24"/>
      <c r="J1873" s="24"/>
      <c r="K1873" s="24"/>
      <c r="L1873" s="24"/>
      <c r="M1873" s="23"/>
      <c r="N1873" s="23"/>
      <c r="O1873" s="23"/>
      <c r="P1873" s="23"/>
      <c r="Q1873" s="23"/>
    </row>
    <row r="1874" spans="1:17" ht="12.75" customHeight="1">
      <c r="A1874" s="10"/>
      <c r="B1874" s="11" t="s">
        <v>1186</v>
      </c>
      <c r="C1874" s="11"/>
      <c r="D1874" s="11"/>
      <c r="E1874" s="12">
        <f>ROUND(80000,2)</f>
        <v>80000</v>
      </c>
      <c r="F1874" s="12">
        <f>ROUND(34027,2)</f>
        <v>34027</v>
      </c>
      <c r="G1874" s="12">
        <f>ROUND(114027,2)</f>
        <v>114027</v>
      </c>
      <c r="H1874" s="12">
        <f>ROUND(108660.63,2)</f>
        <v>108660.63</v>
      </c>
      <c r="I1874" s="13">
        <f>ROUND(108660.63,2)</f>
        <v>108660.63</v>
      </c>
      <c r="J1874" s="13"/>
      <c r="K1874" s="13">
        <f>ROUND(99471.32,2)</f>
        <v>99471.32</v>
      </c>
      <c r="L1874" s="13"/>
      <c r="M1874" s="12">
        <f>ROUND(99471.32,2)</f>
        <v>99471.32</v>
      </c>
      <c r="N1874" s="12">
        <f>ROUND(68569,2)</f>
        <v>68569</v>
      </c>
      <c r="O1874" s="12">
        <f>ROUND(268.69,2)</f>
        <v>268.69</v>
      </c>
      <c r="P1874" s="14">
        <v>0.2356371736518544</v>
      </c>
      <c r="Q1874" s="14">
        <v>87.234882966315</v>
      </c>
    </row>
    <row r="1875" spans="1:17" ht="12.75" customHeight="1">
      <c r="A1875" s="15" t="s">
        <v>1187</v>
      </c>
      <c r="B1875" s="15"/>
      <c r="C1875" s="15"/>
      <c r="D1875" s="15"/>
      <c r="E1875" s="16" t="s">
        <v>1188</v>
      </c>
      <c r="F1875" s="17">
        <f>ROUND(0,2)</f>
        <v>0</v>
      </c>
      <c r="G1875" s="17">
        <f>ROUND(5097.68,2)</f>
        <v>5097.68</v>
      </c>
      <c r="H1875" s="17">
        <f>ROUND(0,2)</f>
        <v>0</v>
      </c>
      <c r="I1875" s="17">
        <f>ROUND(9189.31,2)</f>
        <v>9189.31</v>
      </c>
      <c r="J1875" s="17"/>
      <c r="K1875" s="17">
        <f>ROUND(0,2)</f>
        <v>0</v>
      </c>
      <c r="L1875" s="17"/>
      <c r="M1875" s="17">
        <f>ROUND(30902.32,2)</f>
        <v>30902.32</v>
      </c>
      <c r="N1875" s="17">
        <f>ROUND(0,2)</f>
        <v>0</v>
      </c>
      <c r="O1875" s="17">
        <f>ROUND(14555.68,2)</f>
        <v>14555.68</v>
      </c>
      <c r="P1875" s="18">
        <v>95.29377252755926</v>
      </c>
      <c r="Q1875" s="18">
        <v>68.93343729629807</v>
      </c>
    </row>
    <row r="1876" spans="1:17" ht="12.75" customHeight="1">
      <c r="A1876" s="10" t="s">
        <v>83</v>
      </c>
      <c r="B1876" s="11" t="s">
        <v>1189</v>
      </c>
      <c r="C1876" s="11"/>
      <c r="D1876" s="11"/>
      <c r="E1876" s="12">
        <f>ROUND(0,2)</f>
        <v>0</v>
      </c>
      <c r="F1876" s="12">
        <f aca="true" t="shared" si="1100" ref="F1876:F1877">ROUND(3727.99,2)</f>
        <v>3727.99</v>
      </c>
      <c r="G1876" s="12">
        <f>ROUND(3727.99,2)</f>
        <v>3727.99</v>
      </c>
      <c r="H1876" s="12">
        <f>ROUND(3727.94,2)</f>
        <v>3727.94</v>
      </c>
      <c r="I1876" s="13">
        <f>ROUND(3727.94,2)</f>
        <v>3727.94</v>
      </c>
      <c r="J1876" s="13"/>
      <c r="K1876" s="13">
        <f>ROUND(3727.94,2)</f>
        <v>3727.94</v>
      </c>
      <c r="L1876" s="13"/>
      <c r="M1876" s="12">
        <f>ROUND(3727.94,2)</f>
        <v>3727.94</v>
      </c>
      <c r="N1876" s="12">
        <f>ROUND(3727.94,2)</f>
        <v>3727.94</v>
      </c>
      <c r="O1876" s="12">
        <f>ROUND(0.05,2)</f>
        <v>0.05</v>
      </c>
      <c r="P1876" s="14">
        <v>0.0013412053143919379</v>
      </c>
      <c r="Q1876" s="14">
        <v>99.99865879468561</v>
      </c>
    </row>
    <row r="1877" spans="1:17" ht="12.75" customHeight="1">
      <c r="A1877" s="15" t="s">
        <v>1190</v>
      </c>
      <c r="B1877" s="15"/>
      <c r="C1877" s="15"/>
      <c r="D1877" s="15"/>
      <c r="E1877" s="16" t="s">
        <v>1191</v>
      </c>
      <c r="F1877" s="17">
        <f t="shared" si="1100"/>
        <v>3727.99</v>
      </c>
      <c r="G1877" s="17">
        <f>ROUND(0,2)</f>
        <v>0</v>
      </c>
      <c r="H1877" s="17">
        <f>ROUND(0,2)</f>
        <v>0</v>
      </c>
      <c r="I1877" s="17">
        <f>ROUND(0,2)</f>
        <v>0</v>
      </c>
      <c r="J1877" s="17"/>
      <c r="K1877" s="17">
        <f>ROUND(0,2)</f>
        <v>0</v>
      </c>
      <c r="L1877" s="17"/>
      <c r="M1877" s="17">
        <f>ROUND(0,2)</f>
        <v>0</v>
      </c>
      <c r="N1877" s="17">
        <f>ROUND(0,2)</f>
        <v>0</v>
      </c>
      <c r="O1877" s="17">
        <f>ROUND(0.0499999999997272,2)</f>
        <v>0.05</v>
      </c>
      <c r="P1877" s="18">
        <v>99.99865879468561</v>
      </c>
      <c r="Q1877" s="18">
        <v>100</v>
      </c>
    </row>
    <row r="1878" spans="1:17" ht="12.75" customHeight="1">
      <c r="A1878" s="19" t="s">
        <v>290</v>
      </c>
      <c r="B1878" s="19"/>
      <c r="C1878" s="19"/>
      <c r="D1878" s="19"/>
      <c r="E1878" s="20">
        <f>SUM('DS1'!$A$477:$A$478)</f>
        <v>80000</v>
      </c>
      <c r="F1878" s="20">
        <v>37754.99</v>
      </c>
      <c r="G1878" s="20">
        <v>117754.99</v>
      </c>
      <c r="H1878" s="20">
        <v>112388.57</v>
      </c>
      <c r="I1878" s="21">
        <v>112388.57</v>
      </c>
      <c r="J1878" s="21"/>
      <c r="K1878" s="21">
        <v>103199.26</v>
      </c>
      <c r="L1878" s="21"/>
      <c r="M1878" s="20">
        <v>103199.26</v>
      </c>
      <c r="N1878" s="20">
        <v>72296.94</v>
      </c>
      <c r="O1878" s="20">
        <v>268.74</v>
      </c>
      <c r="P1878" s="22">
        <v>0.2282196278900792</v>
      </c>
      <c r="Q1878" s="22">
        <v>87.63896969461761</v>
      </c>
    </row>
    <row r="1879" spans="1:17" ht="12.75" customHeight="1">
      <c r="A1879" s="23"/>
      <c r="B1879" s="24"/>
      <c r="C1879" s="24"/>
      <c r="D1879" s="24"/>
      <c r="E1879" s="23"/>
      <c r="F1879" s="20">
        <v>3727.99</v>
      </c>
      <c r="G1879" s="20">
        <v>5097.68</v>
      </c>
      <c r="H1879" s="20">
        <v>0</v>
      </c>
      <c r="I1879" s="21">
        <v>9189.309999999998</v>
      </c>
      <c r="J1879" s="21"/>
      <c r="K1879" s="21">
        <v>0</v>
      </c>
      <c r="L1879" s="21"/>
      <c r="M1879" s="20">
        <v>30902.320000000007</v>
      </c>
      <c r="N1879" s="20">
        <v>0</v>
      </c>
      <c r="O1879" s="20">
        <v>14555.729999999992</v>
      </c>
      <c r="P1879" s="22">
        <v>95.44272391344096</v>
      </c>
      <c r="Q1879" s="22">
        <v>70.05567675582171</v>
      </c>
    </row>
    <row r="1880" spans="1:17" ht="20.25" customHeight="1">
      <c r="A1880" s="23"/>
      <c r="B1880" s="24"/>
      <c r="C1880" s="24"/>
      <c r="D1880" s="24"/>
      <c r="E1880" s="23"/>
      <c r="F1880" s="23"/>
      <c r="G1880" s="23"/>
      <c r="H1880" s="23"/>
      <c r="I1880" s="24"/>
      <c r="J1880" s="24"/>
      <c r="K1880" s="24"/>
      <c r="L1880" s="24"/>
      <c r="M1880" s="23"/>
      <c r="N1880" s="23"/>
      <c r="O1880" s="23"/>
      <c r="P1880" s="23"/>
      <c r="Q1880" s="23"/>
    </row>
    <row r="1881" spans="1:17" ht="12.75" customHeight="1">
      <c r="A1881" s="10"/>
      <c r="B1881" s="11" t="s">
        <v>1192</v>
      </c>
      <c r="C1881" s="11"/>
      <c r="D1881" s="11"/>
      <c r="E1881" s="12">
        <f>ROUND(30000,2)</f>
        <v>30000</v>
      </c>
      <c r="F1881" s="12">
        <f aca="true" t="shared" si="1101" ref="F1881:F1884">ROUND(0,2)</f>
        <v>0</v>
      </c>
      <c r="G1881" s="12">
        <f>ROUND(30000,2)</f>
        <v>30000</v>
      </c>
      <c r="H1881" s="12">
        <f>ROUND(30000,2)</f>
        <v>30000</v>
      </c>
      <c r="I1881" s="13">
        <f>ROUND(30000,2)</f>
        <v>30000</v>
      </c>
      <c r="J1881" s="13"/>
      <c r="K1881" s="13">
        <f>ROUND(30000,2)</f>
        <v>30000</v>
      </c>
      <c r="L1881" s="13"/>
      <c r="M1881" s="12">
        <f>ROUND(30000,2)</f>
        <v>30000</v>
      </c>
      <c r="N1881" s="12">
        <f>ROUND(30000,2)</f>
        <v>30000</v>
      </c>
      <c r="O1881" s="12">
        <f aca="true" t="shared" si="1102" ref="O1881:O1882">ROUND(0,2)</f>
        <v>0</v>
      </c>
      <c r="P1881" s="14">
        <v>0</v>
      </c>
      <c r="Q1881" s="14">
        <v>100</v>
      </c>
    </row>
    <row r="1882" spans="1:17" ht="12.75" customHeight="1">
      <c r="A1882" s="15" t="s">
        <v>1193</v>
      </c>
      <c r="B1882" s="15"/>
      <c r="C1882" s="15"/>
      <c r="D1882" s="15"/>
      <c r="E1882" s="16" t="s">
        <v>1194</v>
      </c>
      <c r="F1882" s="17">
        <f t="shared" si="1101"/>
        <v>0</v>
      </c>
      <c r="G1882" s="17">
        <f>ROUND(0,2)</f>
        <v>0</v>
      </c>
      <c r="H1882" s="17">
        <f>ROUND(0,2)</f>
        <v>0</v>
      </c>
      <c r="I1882" s="17">
        <f>ROUND(0,2)</f>
        <v>0</v>
      </c>
      <c r="J1882" s="17"/>
      <c r="K1882" s="17">
        <f>ROUND(0,2)</f>
        <v>0</v>
      </c>
      <c r="L1882" s="17"/>
      <c r="M1882" s="17">
        <f>ROUND(0,2)</f>
        <v>0</v>
      </c>
      <c r="N1882" s="17">
        <f>ROUND(0,2)</f>
        <v>0</v>
      </c>
      <c r="O1882" s="17">
        <f t="shared" si="1102"/>
        <v>0</v>
      </c>
      <c r="P1882" s="18">
        <v>100</v>
      </c>
      <c r="Q1882" s="18">
        <v>100</v>
      </c>
    </row>
    <row r="1883" spans="1:17" ht="12.75" customHeight="1">
      <c r="A1883" s="10"/>
      <c r="B1883" s="11" t="s">
        <v>1195</v>
      </c>
      <c r="C1883" s="11"/>
      <c r="D1883" s="11"/>
      <c r="E1883" s="12">
        <f>ROUND(120000,2)</f>
        <v>120000</v>
      </c>
      <c r="F1883" s="12">
        <f t="shared" si="1101"/>
        <v>0</v>
      </c>
      <c r="G1883" s="12">
        <f>ROUND(120000,2)</f>
        <v>120000</v>
      </c>
      <c r="H1883" s="12">
        <f>ROUND(113773.07,2)</f>
        <v>113773.07</v>
      </c>
      <c r="I1883" s="13">
        <f>ROUND(113773.07,2)</f>
        <v>113773.07</v>
      </c>
      <c r="J1883" s="13"/>
      <c r="K1883" s="13">
        <f>ROUND(113773.07,2)</f>
        <v>113773.07</v>
      </c>
      <c r="L1883" s="13"/>
      <c r="M1883" s="12">
        <f>ROUND(113773.07,2)</f>
        <v>113773.07</v>
      </c>
      <c r="N1883" s="12">
        <f>ROUND(91432.19,2)</f>
        <v>91432.19</v>
      </c>
      <c r="O1883" s="12">
        <f>ROUND(6226.93,2)</f>
        <v>6226.93</v>
      </c>
      <c r="P1883" s="14">
        <v>5.189108333333333</v>
      </c>
      <c r="Q1883" s="14">
        <v>94.81089166666668</v>
      </c>
    </row>
    <row r="1884" spans="1:17" ht="12.75" customHeight="1">
      <c r="A1884" s="15" t="s">
        <v>1193</v>
      </c>
      <c r="B1884" s="15"/>
      <c r="C1884" s="15"/>
      <c r="D1884" s="15"/>
      <c r="E1884" s="16" t="s">
        <v>1194</v>
      </c>
      <c r="F1884" s="17">
        <f t="shared" si="1101"/>
        <v>0</v>
      </c>
      <c r="G1884" s="17">
        <f>ROUND(0,2)</f>
        <v>0</v>
      </c>
      <c r="H1884" s="17">
        <f>ROUND(0,2)</f>
        <v>0</v>
      </c>
      <c r="I1884" s="17">
        <f>ROUND(0,2)</f>
        <v>0</v>
      </c>
      <c r="J1884" s="17"/>
      <c r="K1884" s="17">
        <f>ROUND(0,2)</f>
        <v>0</v>
      </c>
      <c r="L1884" s="17"/>
      <c r="M1884" s="17">
        <f>ROUND(22340.88,2)</f>
        <v>22340.88</v>
      </c>
      <c r="N1884" s="17">
        <f>ROUND(0,2)</f>
        <v>0</v>
      </c>
      <c r="O1884" s="17">
        <f>ROUND(6226.92999999999,2)</f>
        <v>6226.93</v>
      </c>
      <c r="P1884" s="18">
        <v>94.81089166666668</v>
      </c>
      <c r="Q1884" s="18">
        <v>80.36364844510217</v>
      </c>
    </row>
    <row r="1885" spans="1:17" ht="12.75" customHeight="1">
      <c r="A1885" s="19" t="s">
        <v>1196</v>
      </c>
      <c r="B1885" s="19"/>
      <c r="C1885" s="19"/>
      <c r="D1885" s="19"/>
      <c r="E1885" s="20">
        <f>SUM('DS1'!$A$479:$A$480)</f>
        <v>150000</v>
      </c>
      <c r="F1885" s="20">
        <v>0</v>
      </c>
      <c r="G1885" s="20">
        <v>150000</v>
      </c>
      <c r="H1885" s="20">
        <v>143773.07</v>
      </c>
      <c r="I1885" s="21">
        <v>143773.07</v>
      </c>
      <c r="J1885" s="21"/>
      <c r="K1885" s="21">
        <v>143773.07</v>
      </c>
      <c r="L1885" s="21"/>
      <c r="M1885" s="20">
        <v>143773.07</v>
      </c>
      <c r="N1885" s="20">
        <v>121432.19</v>
      </c>
      <c r="O1885" s="20">
        <v>6226.93</v>
      </c>
      <c r="P1885" s="22">
        <v>4.151286666666667</v>
      </c>
      <c r="Q1885" s="22">
        <v>95.84871333333334</v>
      </c>
    </row>
    <row r="1886" spans="1:17" ht="12.75" customHeight="1">
      <c r="A1886" s="23"/>
      <c r="B1886" s="24"/>
      <c r="C1886" s="24"/>
      <c r="D1886" s="24"/>
      <c r="E1886" s="23"/>
      <c r="F1886" s="20">
        <v>0</v>
      </c>
      <c r="G1886" s="20">
        <v>0</v>
      </c>
      <c r="H1886" s="20">
        <v>0</v>
      </c>
      <c r="I1886" s="21">
        <v>0</v>
      </c>
      <c r="J1886" s="21"/>
      <c r="K1886" s="21">
        <v>0</v>
      </c>
      <c r="L1886" s="21"/>
      <c r="M1886" s="20">
        <v>22340.880000000005</v>
      </c>
      <c r="N1886" s="20">
        <v>0</v>
      </c>
      <c r="O1886" s="20">
        <v>6226.929999999993</v>
      </c>
      <c r="P1886" s="22">
        <v>95.84871333333334</v>
      </c>
      <c r="Q1886" s="22">
        <v>84.46101206575057</v>
      </c>
    </row>
    <row r="1887" spans="1:17" ht="20.25" customHeight="1">
      <c r="A1887" s="23"/>
      <c r="B1887" s="24"/>
      <c r="C1887" s="24"/>
      <c r="D1887" s="24"/>
      <c r="E1887" s="23"/>
      <c r="F1887" s="23"/>
      <c r="G1887" s="23"/>
      <c r="H1887" s="23"/>
      <c r="I1887" s="24"/>
      <c r="J1887" s="24"/>
      <c r="K1887" s="24"/>
      <c r="L1887" s="24"/>
      <c r="M1887" s="23"/>
      <c r="N1887" s="23"/>
      <c r="O1887" s="23"/>
      <c r="P1887" s="23"/>
      <c r="Q1887" s="23"/>
    </row>
    <row r="1888" spans="1:17" ht="12.75" customHeight="1">
      <c r="A1888" s="19" t="s">
        <v>1197</v>
      </c>
      <c r="B1888" s="19"/>
      <c r="C1888" s="19"/>
      <c r="D1888" s="19"/>
      <c r="E1888" s="20">
        <f>SUM('DS1'!$A$417:$A$480)</f>
        <v>4442425.67</v>
      </c>
      <c r="F1888" s="20">
        <v>158764.15</v>
      </c>
      <c r="G1888" s="20">
        <v>4601189.82</v>
      </c>
      <c r="H1888" s="20">
        <v>3311528</v>
      </c>
      <c r="I1888" s="21">
        <v>3311528</v>
      </c>
      <c r="J1888" s="21"/>
      <c r="K1888" s="21">
        <v>3189121.39</v>
      </c>
      <c r="L1888" s="21"/>
      <c r="M1888" s="20">
        <v>3189121.39</v>
      </c>
      <c r="N1888" s="20">
        <v>2958487.82</v>
      </c>
      <c r="O1888" s="20">
        <v>1231891.96</v>
      </c>
      <c r="P1888" s="22">
        <v>26.77333490231881</v>
      </c>
      <c r="Q1888" s="22">
        <v>69.31079817958911</v>
      </c>
    </row>
    <row r="1889" spans="1:17" ht="12.75" customHeight="1">
      <c r="A1889" s="23"/>
      <c r="B1889" s="24"/>
      <c r="C1889" s="24"/>
      <c r="D1889" s="24"/>
      <c r="E1889" s="23"/>
      <c r="F1889" s="20">
        <v>133468.27</v>
      </c>
      <c r="G1889" s="20">
        <v>57769.86000000001</v>
      </c>
      <c r="H1889" s="20">
        <v>0</v>
      </c>
      <c r="I1889" s="21">
        <v>122406.61000000002</v>
      </c>
      <c r="J1889" s="21"/>
      <c r="K1889" s="21">
        <v>0</v>
      </c>
      <c r="L1889" s="21"/>
      <c r="M1889" s="20">
        <v>230633.57000000004</v>
      </c>
      <c r="N1889" s="20">
        <v>19974.22</v>
      </c>
      <c r="O1889" s="20">
        <v>1412068.4299999995</v>
      </c>
      <c r="P1889" s="22">
        <v>71.97112333000858</v>
      </c>
      <c r="Q1889" s="22">
        <v>92.76811567213501</v>
      </c>
    </row>
    <row r="1890" spans="1:17" ht="18" customHeight="1">
      <c r="A1890" s="23"/>
      <c r="B1890" s="24"/>
      <c r="C1890" s="24"/>
      <c r="D1890" s="24"/>
      <c r="E1890" s="23"/>
      <c r="F1890" s="23"/>
      <c r="G1890" s="23"/>
      <c r="H1890" s="23"/>
      <c r="I1890" s="24"/>
      <c r="J1890" s="24"/>
      <c r="K1890" s="24"/>
      <c r="L1890" s="24"/>
      <c r="M1890" s="23"/>
      <c r="N1890" s="23"/>
      <c r="O1890" s="23"/>
      <c r="P1890" s="23"/>
      <c r="Q1890" s="23"/>
    </row>
    <row r="1891" spans="1:17" ht="12.75" customHeight="1">
      <c r="A1891" s="10"/>
      <c r="B1891" s="11" t="s">
        <v>1198</v>
      </c>
      <c r="C1891" s="11"/>
      <c r="D1891" s="11"/>
      <c r="E1891" s="12">
        <f>ROUND(8000,2)</f>
        <v>8000</v>
      </c>
      <c r="F1891" s="12">
        <f>ROUND(-6527,2)</f>
        <v>-6527</v>
      </c>
      <c r="G1891" s="12">
        <f>ROUND(1473,2)</f>
        <v>1473</v>
      </c>
      <c r="H1891" s="12">
        <f aca="true" t="shared" si="1103" ref="H1891:H1892">ROUND(0,2)</f>
        <v>0</v>
      </c>
      <c r="I1891" s="13">
        <f aca="true" t="shared" si="1104" ref="I1891:I1892">ROUND(0,2)</f>
        <v>0</v>
      </c>
      <c r="J1891" s="13"/>
      <c r="K1891" s="13">
        <f aca="true" t="shared" si="1105" ref="K1891:K1892">ROUND(0,2)</f>
        <v>0</v>
      </c>
      <c r="L1891" s="13"/>
      <c r="M1891" s="12">
        <f aca="true" t="shared" si="1106" ref="M1891:M1892">ROUND(0,2)</f>
        <v>0</v>
      </c>
      <c r="N1891" s="12">
        <f aca="true" t="shared" si="1107" ref="N1891:N1892">ROUND(0,2)</f>
        <v>0</v>
      </c>
      <c r="O1891" s="12">
        <f aca="true" t="shared" si="1108" ref="O1891:O1892">ROUND(1473,2)</f>
        <v>1473</v>
      </c>
      <c r="P1891" s="14">
        <v>100</v>
      </c>
      <c r="Q1891" s="14">
        <v>0</v>
      </c>
    </row>
    <row r="1892" spans="1:17" ht="12.75" customHeight="1">
      <c r="A1892" s="15" t="s">
        <v>1199</v>
      </c>
      <c r="B1892" s="15"/>
      <c r="C1892" s="15"/>
      <c r="D1892" s="15"/>
      <c r="E1892" s="16" t="s">
        <v>1121</v>
      </c>
      <c r="F1892" s="17">
        <f>ROUND(0,2)</f>
        <v>0</v>
      </c>
      <c r="G1892" s="17">
        <f>ROUND(0,2)</f>
        <v>0</v>
      </c>
      <c r="H1892" s="17">
        <f t="shared" si="1103"/>
        <v>0</v>
      </c>
      <c r="I1892" s="17">
        <f t="shared" si="1104"/>
        <v>0</v>
      </c>
      <c r="J1892" s="17"/>
      <c r="K1892" s="17">
        <f t="shared" si="1105"/>
        <v>0</v>
      </c>
      <c r="L1892" s="17"/>
      <c r="M1892" s="17">
        <f t="shared" si="1106"/>
        <v>0</v>
      </c>
      <c r="N1892" s="17">
        <f t="shared" si="1107"/>
        <v>0</v>
      </c>
      <c r="O1892" s="17">
        <f t="shared" si="1108"/>
        <v>1473</v>
      </c>
      <c r="P1892" s="18">
        <v>0</v>
      </c>
      <c r="Q1892" s="18">
        <v>0</v>
      </c>
    </row>
    <row r="1893" spans="1:17" ht="12.75" customHeight="1">
      <c r="A1893" s="19" t="s">
        <v>183</v>
      </c>
      <c r="B1893" s="19"/>
      <c r="C1893" s="19"/>
      <c r="D1893" s="19"/>
      <c r="E1893" s="20">
        <f>SUM('DS1'!$A$481)</f>
        <v>8000</v>
      </c>
      <c r="F1893" s="20">
        <v>-6527</v>
      </c>
      <c r="G1893" s="20">
        <v>1473</v>
      </c>
      <c r="H1893" s="20">
        <v>0</v>
      </c>
      <c r="I1893" s="21">
        <v>0</v>
      </c>
      <c r="J1893" s="21"/>
      <c r="K1893" s="21">
        <v>0</v>
      </c>
      <c r="L1893" s="21"/>
      <c r="M1893" s="20">
        <v>0</v>
      </c>
      <c r="N1893" s="20">
        <v>0</v>
      </c>
      <c r="O1893" s="20">
        <v>1473</v>
      </c>
      <c r="P1893" s="22">
        <v>100</v>
      </c>
      <c r="Q1893" s="22">
        <v>0</v>
      </c>
    </row>
    <row r="1894" spans="1:17" ht="12.75" customHeight="1">
      <c r="A1894" s="23"/>
      <c r="B1894" s="24"/>
      <c r="C1894" s="24"/>
      <c r="D1894" s="24"/>
      <c r="E1894" s="23"/>
      <c r="F1894" s="20">
        <v>0</v>
      </c>
      <c r="G1894" s="20">
        <v>0</v>
      </c>
      <c r="H1894" s="20">
        <v>0</v>
      </c>
      <c r="I1894" s="21">
        <v>0</v>
      </c>
      <c r="J1894" s="21"/>
      <c r="K1894" s="21">
        <v>0</v>
      </c>
      <c r="L1894" s="21"/>
      <c r="M1894" s="20">
        <v>0</v>
      </c>
      <c r="N1894" s="20">
        <v>0</v>
      </c>
      <c r="O1894" s="20">
        <v>1473</v>
      </c>
      <c r="P1894" s="22">
        <v>0</v>
      </c>
      <c r="Q1894" s="22">
        <v>0</v>
      </c>
    </row>
    <row r="1895" spans="1:17" ht="20.25" customHeight="1">
      <c r="A1895" s="23"/>
      <c r="B1895" s="24"/>
      <c r="C1895" s="24"/>
      <c r="D1895" s="24"/>
      <c r="E1895" s="23"/>
      <c r="F1895" s="23"/>
      <c r="G1895" s="23"/>
      <c r="H1895" s="23"/>
      <c r="I1895" s="24"/>
      <c r="J1895" s="24"/>
      <c r="K1895" s="24"/>
      <c r="L1895" s="24"/>
      <c r="M1895" s="23"/>
      <c r="N1895" s="23"/>
      <c r="O1895" s="23"/>
      <c r="P1895" s="23"/>
      <c r="Q1895" s="23"/>
    </row>
    <row r="1896" spans="1:17" ht="12.75" customHeight="1">
      <c r="A1896" s="10"/>
      <c r="B1896" s="11" t="s">
        <v>1200</v>
      </c>
      <c r="C1896" s="11"/>
      <c r="D1896" s="11"/>
      <c r="E1896" s="12">
        <f>ROUND(45000,2)</f>
        <v>45000</v>
      </c>
      <c r="F1896" s="12">
        <f aca="true" t="shared" si="1109" ref="F1896:F1897">ROUND(0,2)</f>
        <v>0</v>
      </c>
      <c r="G1896" s="12">
        <f>ROUND(45000,2)</f>
        <v>45000</v>
      </c>
      <c r="H1896" s="12">
        <f aca="true" t="shared" si="1110" ref="H1896:H1897">ROUND(0,2)</f>
        <v>0</v>
      </c>
      <c r="I1896" s="13">
        <f aca="true" t="shared" si="1111" ref="I1896:I1897">ROUND(0,2)</f>
        <v>0</v>
      </c>
      <c r="J1896" s="13"/>
      <c r="K1896" s="13">
        <f aca="true" t="shared" si="1112" ref="K1896:K1897">ROUND(0,2)</f>
        <v>0</v>
      </c>
      <c r="L1896" s="13"/>
      <c r="M1896" s="12">
        <f aca="true" t="shared" si="1113" ref="M1896:M1897">ROUND(0,2)</f>
        <v>0</v>
      </c>
      <c r="N1896" s="12">
        <f aca="true" t="shared" si="1114" ref="N1896:N1897">ROUND(0,2)</f>
        <v>0</v>
      </c>
      <c r="O1896" s="12">
        <f aca="true" t="shared" si="1115" ref="O1896:O1897">ROUND(45000,2)</f>
        <v>45000</v>
      </c>
      <c r="P1896" s="14">
        <v>100</v>
      </c>
      <c r="Q1896" s="14">
        <v>0</v>
      </c>
    </row>
    <row r="1897" spans="1:17" ht="12.75" customHeight="1">
      <c r="A1897" s="15" t="s">
        <v>1201</v>
      </c>
      <c r="B1897" s="15"/>
      <c r="C1897" s="15"/>
      <c r="D1897" s="15"/>
      <c r="E1897" s="16" t="s">
        <v>1121</v>
      </c>
      <c r="F1897" s="17">
        <f t="shared" si="1109"/>
        <v>0</v>
      </c>
      <c r="G1897" s="17">
        <f>ROUND(0,2)</f>
        <v>0</v>
      </c>
      <c r="H1897" s="17">
        <f t="shared" si="1110"/>
        <v>0</v>
      </c>
      <c r="I1897" s="17">
        <f t="shared" si="1111"/>
        <v>0</v>
      </c>
      <c r="J1897" s="17"/>
      <c r="K1897" s="17">
        <f t="shared" si="1112"/>
        <v>0</v>
      </c>
      <c r="L1897" s="17"/>
      <c r="M1897" s="17">
        <f t="shared" si="1113"/>
        <v>0</v>
      </c>
      <c r="N1897" s="17">
        <f t="shared" si="1114"/>
        <v>0</v>
      </c>
      <c r="O1897" s="17">
        <f t="shared" si="1115"/>
        <v>45000</v>
      </c>
      <c r="P1897" s="18">
        <v>0</v>
      </c>
      <c r="Q1897" s="18">
        <v>0</v>
      </c>
    </row>
    <row r="1898" spans="1:17" ht="12.75" customHeight="1">
      <c r="A1898" s="19" t="s">
        <v>37</v>
      </c>
      <c r="B1898" s="19"/>
      <c r="C1898" s="19"/>
      <c r="D1898" s="19"/>
      <c r="E1898" s="20">
        <f>SUM('DS1'!$A$482)</f>
        <v>45000</v>
      </c>
      <c r="F1898" s="20">
        <v>0</v>
      </c>
      <c r="G1898" s="20">
        <v>45000</v>
      </c>
      <c r="H1898" s="20">
        <v>0</v>
      </c>
      <c r="I1898" s="21">
        <v>0</v>
      </c>
      <c r="J1898" s="21"/>
      <c r="K1898" s="21">
        <v>0</v>
      </c>
      <c r="L1898" s="21"/>
      <c r="M1898" s="20">
        <v>0</v>
      </c>
      <c r="N1898" s="20">
        <v>0</v>
      </c>
      <c r="O1898" s="20">
        <v>45000</v>
      </c>
      <c r="P1898" s="22">
        <v>100</v>
      </c>
      <c r="Q1898" s="22">
        <v>0</v>
      </c>
    </row>
    <row r="1899" spans="1:17" ht="12.75" customHeight="1">
      <c r="A1899" s="23"/>
      <c r="B1899" s="24"/>
      <c r="C1899" s="24"/>
      <c r="D1899" s="24"/>
      <c r="E1899" s="23"/>
      <c r="F1899" s="20">
        <v>0</v>
      </c>
      <c r="G1899" s="20">
        <v>0</v>
      </c>
      <c r="H1899" s="20">
        <v>0</v>
      </c>
      <c r="I1899" s="21">
        <v>0</v>
      </c>
      <c r="J1899" s="21"/>
      <c r="K1899" s="21">
        <v>0</v>
      </c>
      <c r="L1899" s="21"/>
      <c r="M1899" s="20">
        <v>0</v>
      </c>
      <c r="N1899" s="20">
        <v>0</v>
      </c>
      <c r="O1899" s="20">
        <v>45000</v>
      </c>
      <c r="P1899" s="22">
        <v>0</v>
      </c>
      <c r="Q1899" s="22">
        <v>0</v>
      </c>
    </row>
    <row r="1900" spans="1:17" ht="20.25" customHeight="1">
      <c r="A1900" s="23"/>
      <c r="B1900" s="24"/>
      <c r="C1900" s="24"/>
      <c r="D1900" s="24"/>
      <c r="E1900" s="23"/>
      <c r="F1900" s="23"/>
      <c r="G1900" s="23"/>
      <c r="H1900" s="23"/>
      <c r="I1900" s="24"/>
      <c r="J1900" s="24"/>
      <c r="K1900" s="24"/>
      <c r="L1900" s="24"/>
      <c r="M1900" s="23"/>
      <c r="N1900" s="23"/>
      <c r="O1900" s="23"/>
      <c r="P1900" s="23"/>
      <c r="Q1900" s="23"/>
    </row>
    <row r="1901" spans="1:17" ht="12.75" customHeight="1">
      <c r="A1901" s="19" t="s">
        <v>1202</v>
      </c>
      <c r="B1901" s="19"/>
      <c r="C1901" s="19"/>
      <c r="D1901" s="19"/>
      <c r="E1901" s="20">
        <f>SUM('DS1'!$A$481:$A$482)</f>
        <v>53000</v>
      </c>
      <c r="F1901" s="20">
        <v>-6527</v>
      </c>
      <c r="G1901" s="20">
        <v>46473</v>
      </c>
      <c r="H1901" s="20">
        <v>0</v>
      </c>
      <c r="I1901" s="21">
        <v>0</v>
      </c>
      <c r="J1901" s="21"/>
      <c r="K1901" s="21">
        <v>0</v>
      </c>
      <c r="L1901" s="21"/>
      <c r="M1901" s="20">
        <v>0</v>
      </c>
      <c r="N1901" s="20">
        <v>0</v>
      </c>
      <c r="O1901" s="20">
        <v>46473</v>
      </c>
      <c r="P1901" s="22">
        <v>100</v>
      </c>
      <c r="Q1901" s="22">
        <v>0</v>
      </c>
    </row>
    <row r="1902" spans="1:17" ht="12.75" customHeight="1">
      <c r="A1902" s="23"/>
      <c r="B1902" s="24"/>
      <c r="C1902" s="24"/>
      <c r="D1902" s="24"/>
      <c r="E1902" s="23"/>
      <c r="F1902" s="20">
        <v>0</v>
      </c>
      <c r="G1902" s="20">
        <v>0</v>
      </c>
      <c r="H1902" s="20">
        <v>0</v>
      </c>
      <c r="I1902" s="21">
        <v>0</v>
      </c>
      <c r="J1902" s="21"/>
      <c r="K1902" s="21">
        <v>0</v>
      </c>
      <c r="L1902" s="21"/>
      <c r="M1902" s="20">
        <v>0</v>
      </c>
      <c r="N1902" s="20">
        <v>0</v>
      </c>
      <c r="O1902" s="20">
        <v>46473</v>
      </c>
      <c r="P1902" s="22">
        <v>0</v>
      </c>
      <c r="Q1902" s="22">
        <v>0</v>
      </c>
    </row>
    <row r="1903" spans="1:17" ht="18" customHeight="1">
      <c r="A1903" s="23"/>
      <c r="B1903" s="24"/>
      <c r="C1903" s="24"/>
      <c r="D1903" s="24"/>
      <c r="E1903" s="23"/>
      <c r="F1903" s="23"/>
      <c r="G1903" s="23"/>
      <c r="H1903" s="23"/>
      <c r="I1903" s="24"/>
      <c r="J1903" s="24"/>
      <c r="K1903" s="24"/>
      <c r="L1903" s="24"/>
      <c r="M1903" s="23"/>
      <c r="N1903" s="23"/>
      <c r="O1903" s="23"/>
      <c r="P1903" s="23"/>
      <c r="Q1903" s="23"/>
    </row>
    <row r="1904" spans="1:17" ht="12.75" customHeight="1">
      <c r="A1904" s="10"/>
      <c r="B1904" s="11" t="s">
        <v>1203</v>
      </c>
      <c r="C1904" s="11"/>
      <c r="D1904" s="11"/>
      <c r="E1904" s="12">
        <f>ROUND(1542743.69,2)</f>
        <v>1542743.69</v>
      </c>
      <c r="F1904" s="12">
        <f aca="true" t="shared" si="1116" ref="F1904:F1905">ROUND(0,2)</f>
        <v>0</v>
      </c>
      <c r="G1904" s="12">
        <f>ROUND(1542743.69,2)</f>
        <v>1542743.69</v>
      </c>
      <c r="H1904" s="12">
        <f>ROUND(1022524.78,2)</f>
        <v>1022524.78</v>
      </c>
      <c r="I1904" s="13">
        <f>ROUND(1022524.78,2)</f>
        <v>1022524.78</v>
      </c>
      <c r="J1904" s="13"/>
      <c r="K1904" s="13">
        <f>ROUND(1022524.78,2)</f>
        <v>1022524.78</v>
      </c>
      <c r="L1904" s="13"/>
      <c r="M1904" s="12">
        <f>ROUND(1022524.78,2)</f>
        <v>1022524.78</v>
      </c>
      <c r="N1904" s="12">
        <f>ROUND(924544.7,2)</f>
        <v>924544.7</v>
      </c>
      <c r="O1904" s="12">
        <f>ROUND(520218.91,2)</f>
        <v>520218.91</v>
      </c>
      <c r="P1904" s="14">
        <v>33.720371917385705</v>
      </c>
      <c r="Q1904" s="14">
        <v>66.2796280826143</v>
      </c>
    </row>
    <row r="1905" spans="1:17" ht="12.75" customHeight="1">
      <c r="A1905" s="15" t="s">
        <v>1204</v>
      </c>
      <c r="B1905" s="15"/>
      <c r="C1905" s="15"/>
      <c r="D1905" s="15"/>
      <c r="E1905" s="16" t="s">
        <v>1121</v>
      </c>
      <c r="F1905" s="17">
        <f t="shared" si="1116"/>
        <v>0</v>
      </c>
      <c r="G1905" s="17">
        <f>ROUND(0,2)</f>
        <v>0</v>
      </c>
      <c r="H1905" s="17">
        <f>ROUND(0,2)</f>
        <v>0</v>
      </c>
      <c r="I1905" s="17">
        <f>ROUND(0,2)</f>
        <v>0</v>
      </c>
      <c r="J1905" s="17"/>
      <c r="K1905" s="17">
        <f>ROUND(0,2)</f>
        <v>0</v>
      </c>
      <c r="L1905" s="17"/>
      <c r="M1905" s="17">
        <f>ROUND(97980.0800000001,2)</f>
        <v>97980.08</v>
      </c>
      <c r="N1905" s="17">
        <f>ROUND(0,2)</f>
        <v>0</v>
      </c>
      <c r="O1905" s="17">
        <f>ROUND(520218.91,2)</f>
        <v>520218.91</v>
      </c>
      <c r="P1905" s="18">
        <v>66.2796280826143</v>
      </c>
      <c r="Q1905" s="18">
        <v>90.41782830925622</v>
      </c>
    </row>
    <row r="1906" spans="1:17" ht="12.75" customHeight="1">
      <c r="A1906" s="19" t="s">
        <v>37</v>
      </c>
      <c r="B1906" s="19"/>
      <c r="C1906" s="19"/>
      <c r="D1906" s="19"/>
      <c r="E1906" s="20">
        <f>SUM('DS1'!$A$483)</f>
        <v>1542743.69</v>
      </c>
      <c r="F1906" s="20">
        <v>0</v>
      </c>
      <c r="G1906" s="20">
        <v>1542743.69</v>
      </c>
      <c r="H1906" s="20">
        <v>1022524.78</v>
      </c>
      <c r="I1906" s="21">
        <v>1022524.78</v>
      </c>
      <c r="J1906" s="21"/>
      <c r="K1906" s="21">
        <v>1022524.78</v>
      </c>
      <c r="L1906" s="21"/>
      <c r="M1906" s="20">
        <v>1022524.78</v>
      </c>
      <c r="N1906" s="20">
        <v>924544.7</v>
      </c>
      <c r="O1906" s="20">
        <v>520218.91</v>
      </c>
      <c r="P1906" s="22">
        <v>33.720371917385705</v>
      </c>
      <c r="Q1906" s="22">
        <v>66.2796280826143</v>
      </c>
    </row>
    <row r="1907" spans="1:17" ht="12.75" customHeight="1">
      <c r="A1907" s="23"/>
      <c r="B1907" s="24"/>
      <c r="C1907" s="24"/>
      <c r="D1907" s="24"/>
      <c r="E1907" s="23"/>
      <c r="F1907" s="20">
        <v>0</v>
      </c>
      <c r="G1907" s="20">
        <v>0</v>
      </c>
      <c r="H1907" s="20">
        <v>0</v>
      </c>
      <c r="I1907" s="21">
        <v>0</v>
      </c>
      <c r="J1907" s="21"/>
      <c r="K1907" s="21">
        <v>0</v>
      </c>
      <c r="L1907" s="21"/>
      <c r="M1907" s="20">
        <v>97980.08000000007</v>
      </c>
      <c r="N1907" s="20">
        <v>0</v>
      </c>
      <c r="O1907" s="20">
        <v>520218.9099999999</v>
      </c>
      <c r="P1907" s="22">
        <v>66.2796280826143</v>
      </c>
      <c r="Q1907" s="22">
        <v>90.41782830925622</v>
      </c>
    </row>
    <row r="1908" spans="1:17" ht="20.25" customHeight="1">
      <c r="A1908" s="23"/>
      <c r="B1908" s="24"/>
      <c r="C1908" s="24"/>
      <c r="D1908" s="24"/>
      <c r="E1908" s="23"/>
      <c r="F1908" s="23"/>
      <c r="G1908" s="23"/>
      <c r="H1908" s="23"/>
      <c r="I1908" s="24"/>
      <c r="J1908" s="24"/>
      <c r="K1908" s="24"/>
      <c r="L1908" s="24"/>
      <c r="M1908" s="23"/>
      <c r="N1908" s="23"/>
      <c r="O1908" s="23"/>
      <c r="P1908" s="23"/>
      <c r="Q1908" s="23"/>
    </row>
    <row r="1909" spans="1:17" ht="12.75" customHeight="1">
      <c r="A1909" s="19" t="s">
        <v>1205</v>
      </c>
      <c r="B1909" s="19"/>
      <c r="C1909" s="19"/>
      <c r="D1909" s="19"/>
      <c r="E1909" s="20">
        <f>SUM('DS1'!$A$483)</f>
        <v>1542743.69</v>
      </c>
      <c r="F1909" s="20">
        <v>0</v>
      </c>
      <c r="G1909" s="20">
        <v>1542743.69</v>
      </c>
      <c r="H1909" s="20">
        <v>1022524.78</v>
      </c>
      <c r="I1909" s="21">
        <v>1022524.78</v>
      </c>
      <c r="J1909" s="21"/>
      <c r="K1909" s="21">
        <v>1022524.78</v>
      </c>
      <c r="L1909" s="21"/>
      <c r="M1909" s="20">
        <v>1022524.78</v>
      </c>
      <c r="N1909" s="20">
        <v>924544.7</v>
      </c>
      <c r="O1909" s="20">
        <v>520218.91</v>
      </c>
      <c r="P1909" s="22">
        <v>33.720371917385705</v>
      </c>
      <c r="Q1909" s="22">
        <v>66.2796280826143</v>
      </c>
    </row>
    <row r="1910" spans="1:17" ht="12.75" customHeight="1">
      <c r="A1910" s="23"/>
      <c r="B1910" s="24"/>
      <c r="C1910" s="24"/>
      <c r="D1910" s="24"/>
      <c r="E1910" s="23"/>
      <c r="F1910" s="20">
        <v>0</v>
      </c>
      <c r="G1910" s="20">
        <v>0</v>
      </c>
      <c r="H1910" s="20">
        <v>0</v>
      </c>
      <c r="I1910" s="21">
        <v>0</v>
      </c>
      <c r="J1910" s="21"/>
      <c r="K1910" s="21">
        <v>0</v>
      </c>
      <c r="L1910" s="21"/>
      <c r="M1910" s="20">
        <v>97980.08000000007</v>
      </c>
      <c r="N1910" s="20">
        <v>0</v>
      </c>
      <c r="O1910" s="20">
        <v>520218.9099999999</v>
      </c>
      <c r="P1910" s="22">
        <v>66.2796280826143</v>
      </c>
      <c r="Q1910" s="22">
        <v>90.41782830925622</v>
      </c>
    </row>
    <row r="1911" spans="1:17" ht="18" customHeight="1">
      <c r="A1911" s="23"/>
      <c r="B1911" s="24"/>
      <c r="C1911" s="24"/>
      <c r="D1911" s="24"/>
      <c r="E1911" s="23"/>
      <c r="F1911" s="23"/>
      <c r="G1911" s="23"/>
      <c r="H1911" s="23"/>
      <c r="I1911" s="24"/>
      <c r="J1911" s="24"/>
      <c r="K1911" s="24"/>
      <c r="L1911" s="24"/>
      <c r="M1911" s="23"/>
      <c r="N1911" s="23"/>
      <c r="O1911" s="23"/>
      <c r="P1911" s="23"/>
      <c r="Q1911" s="23"/>
    </row>
    <row r="1912" spans="1:17" ht="12.75" customHeight="1">
      <c r="A1912" s="10"/>
      <c r="B1912" s="11" t="s">
        <v>1206</v>
      </c>
      <c r="C1912" s="11"/>
      <c r="D1912" s="11"/>
      <c r="E1912" s="12">
        <f>ROUND(350000,2)</f>
        <v>350000</v>
      </c>
      <c r="F1912" s="12">
        <f>ROUND(-164184.94,2)</f>
        <v>-164184.94</v>
      </c>
      <c r="G1912" s="12">
        <f>ROUND(185815.06,2)</f>
        <v>185815.06</v>
      </c>
      <c r="H1912" s="12">
        <f aca="true" t="shared" si="1117" ref="H1912:H1913">ROUND(0,2)</f>
        <v>0</v>
      </c>
      <c r="I1912" s="13">
        <f aca="true" t="shared" si="1118" ref="I1912:I1913">ROUND(0,2)</f>
        <v>0</v>
      </c>
      <c r="J1912" s="13"/>
      <c r="K1912" s="13">
        <f aca="true" t="shared" si="1119" ref="K1912:K1913">ROUND(0,2)</f>
        <v>0</v>
      </c>
      <c r="L1912" s="13"/>
      <c r="M1912" s="12">
        <f aca="true" t="shared" si="1120" ref="M1912:M1913">ROUND(0,2)</f>
        <v>0</v>
      </c>
      <c r="N1912" s="12">
        <f aca="true" t="shared" si="1121" ref="N1912:N1913">ROUND(0,2)</f>
        <v>0</v>
      </c>
      <c r="O1912" s="12">
        <f aca="true" t="shared" si="1122" ref="O1912:O1913">ROUND(185815.06,2)</f>
        <v>185815.06</v>
      </c>
      <c r="P1912" s="14">
        <v>100</v>
      </c>
      <c r="Q1912" s="14">
        <v>0</v>
      </c>
    </row>
    <row r="1913" spans="1:17" ht="12.75" customHeight="1">
      <c r="A1913" s="15" t="s">
        <v>1207</v>
      </c>
      <c r="B1913" s="15"/>
      <c r="C1913" s="15"/>
      <c r="D1913" s="15"/>
      <c r="E1913" s="16" t="s">
        <v>1208</v>
      </c>
      <c r="F1913" s="17">
        <f>ROUND(0,2)</f>
        <v>0</v>
      </c>
      <c r="G1913" s="17">
        <f>ROUND(0,2)</f>
        <v>0</v>
      </c>
      <c r="H1913" s="17">
        <f t="shared" si="1117"/>
        <v>0</v>
      </c>
      <c r="I1913" s="17">
        <f t="shared" si="1118"/>
        <v>0</v>
      </c>
      <c r="J1913" s="17"/>
      <c r="K1913" s="17">
        <f t="shared" si="1119"/>
        <v>0</v>
      </c>
      <c r="L1913" s="17"/>
      <c r="M1913" s="17">
        <f t="shared" si="1120"/>
        <v>0</v>
      </c>
      <c r="N1913" s="17">
        <f t="shared" si="1121"/>
        <v>0</v>
      </c>
      <c r="O1913" s="17">
        <f t="shared" si="1122"/>
        <v>185815.06</v>
      </c>
      <c r="P1913" s="18">
        <v>0</v>
      </c>
      <c r="Q1913" s="18">
        <v>0</v>
      </c>
    </row>
    <row r="1914" spans="1:17" ht="12.75" customHeight="1">
      <c r="A1914" s="19" t="s">
        <v>1209</v>
      </c>
      <c r="B1914" s="19"/>
      <c r="C1914" s="19"/>
      <c r="D1914" s="19"/>
      <c r="E1914" s="20">
        <f>SUM('DS1'!$A$484)</f>
        <v>350000</v>
      </c>
      <c r="F1914" s="20">
        <v>-164184.94</v>
      </c>
      <c r="G1914" s="20">
        <v>185815.06</v>
      </c>
      <c r="H1914" s="20">
        <v>0</v>
      </c>
      <c r="I1914" s="21">
        <v>0</v>
      </c>
      <c r="J1914" s="21"/>
      <c r="K1914" s="21">
        <v>0</v>
      </c>
      <c r="L1914" s="21"/>
      <c r="M1914" s="20">
        <v>0</v>
      </c>
      <c r="N1914" s="20">
        <v>0</v>
      </c>
      <c r="O1914" s="20">
        <v>185815.06</v>
      </c>
      <c r="P1914" s="22">
        <v>100</v>
      </c>
      <c r="Q1914" s="22">
        <v>0</v>
      </c>
    </row>
    <row r="1915" spans="1:17" ht="12.75" customHeight="1">
      <c r="A1915" s="23"/>
      <c r="B1915" s="24"/>
      <c r="C1915" s="24"/>
      <c r="D1915" s="24"/>
      <c r="E1915" s="23"/>
      <c r="F1915" s="20">
        <v>0</v>
      </c>
      <c r="G1915" s="20">
        <v>0</v>
      </c>
      <c r="H1915" s="20">
        <v>0</v>
      </c>
      <c r="I1915" s="21">
        <v>0</v>
      </c>
      <c r="J1915" s="21"/>
      <c r="K1915" s="21">
        <v>0</v>
      </c>
      <c r="L1915" s="21"/>
      <c r="M1915" s="20">
        <v>0</v>
      </c>
      <c r="N1915" s="20">
        <v>0</v>
      </c>
      <c r="O1915" s="20">
        <v>185815.06</v>
      </c>
      <c r="P1915" s="22">
        <v>0</v>
      </c>
      <c r="Q1915" s="22">
        <v>0</v>
      </c>
    </row>
    <row r="1916" spans="1:17" ht="20.25" customHeight="1">
      <c r="A1916" s="23"/>
      <c r="B1916" s="24"/>
      <c r="C1916" s="24"/>
      <c r="D1916" s="24"/>
      <c r="E1916" s="23"/>
      <c r="F1916" s="23"/>
      <c r="G1916" s="23"/>
      <c r="H1916" s="23"/>
      <c r="I1916" s="24"/>
      <c r="J1916" s="24"/>
      <c r="K1916" s="24"/>
      <c r="L1916" s="24"/>
      <c r="M1916" s="23"/>
      <c r="N1916" s="23"/>
      <c r="O1916" s="23"/>
      <c r="P1916" s="23"/>
      <c r="Q1916" s="23"/>
    </row>
    <row r="1917" spans="1:17" ht="12.75" customHeight="1">
      <c r="A1917" s="19" t="s">
        <v>1210</v>
      </c>
      <c r="B1917" s="19"/>
      <c r="C1917" s="19"/>
      <c r="D1917" s="19"/>
      <c r="E1917" s="20">
        <f>SUM('DS1'!$A$484)</f>
        <v>350000</v>
      </c>
      <c r="F1917" s="20">
        <v>-164184.94</v>
      </c>
      <c r="G1917" s="20">
        <v>185815.06</v>
      </c>
      <c r="H1917" s="20">
        <v>0</v>
      </c>
      <c r="I1917" s="21">
        <v>0</v>
      </c>
      <c r="J1917" s="21"/>
      <c r="K1917" s="21">
        <v>0</v>
      </c>
      <c r="L1917" s="21"/>
      <c r="M1917" s="20">
        <v>0</v>
      </c>
      <c r="N1917" s="20">
        <v>0</v>
      </c>
      <c r="O1917" s="20">
        <v>185815.06</v>
      </c>
      <c r="P1917" s="22">
        <v>100</v>
      </c>
      <c r="Q1917" s="22">
        <v>0</v>
      </c>
    </row>
    <row r="1918" spans="1:17" ht="12.75" customHeight="1">
      <c r="A1918" s="23"/>
      <c r="B1918" s="24"/>
      <c r="C1918" s="24"/>
      <c r="D1918" s="24"/>
      <c r="E1918" s="23"/>
      <c r="F1918" s="20">
        <v>0</v>
      </c>
      <c r="G1918" s="20">
        <v>0</v>
      </c>
      <c r="H1918" s="20">
        <v>0</v>
      </c>
      <c r="I1918" s="21">
        <v>0</v>
      </c>
      <c r="J1918" s="21"/>
      <c r="K1918" s="21">
        <v>0</v>
      </c>
      <c r="L1918" s="21"/>
      <c r="M1918" s="20">
        <v>0</v>
      </c>
      <c r="N1918" s="20">
        <v>0</v>
      </c>
      <c r="O1918" s="20">
        <v>185815.06</v>
      </c>
      <c r="P1918" s="22">
        <v>0</v>
      </c>
      <c r="Q1918" s="22">
        <v>0</v>
      </c>
    </row>
    <row r="1919" spans="1:17" ht="18" customHeight="1">
      <c r="A1919" s="23"/>
      <c r="B1919" s="24"/>
      <c r="C1919" s="24"/>
      <c r="D1919" s="24"/>
      <c r="E1919" s="23"/>
      <c r="F1919" s="23"/>
      <c r="G1919" s="23"/>
      <c r="H1919" s="23"/>
      <c r="I1919" s="24"/>
      <c r="J1919" s="24"/>
      <c r="K1919" s="24"/>
      <c r="L1919" s="24"/>
      <c r="M1919" s="23"/>
      <c r="N1919" s="23"/>
      <c r="O1919" s="23"/>
      <c r="P1919" s="23"/>
      <c r="Q1919" s="23"/>
    </row>
    <row r="1920" spans="1:17" ht="12.75" customHeight="1">
      <c r="A1920" s="10"/>
      <c r="B1920" s="11" t="s">
        <v>1211</v>
      </c>
      <c r="C1920" s="11"/>
      <c r="D1920" s="11"/>
      <c r="E1920" s="12">
        <f>ROUND(27279.18,2)</f>
        <v>27279.18</v>
      </c>
      <c r="F1920" s="12">
        <f>ROUND(245.51,2)</f>
        <v>245.51</v>
      </c>
      <c r="G1920" s="12">
        <f>ROUND(27524.69,2)</f>
        <v>27524.69</v>
      </c>
      <c r="H1920" s="12">
        <f>ROUND(27523.68,2)</f>
        <v>27523.68</v>
      </c>
      <c r="I1920" s="13">
        <f>ROUND(27523.68,2)</f>
        <v>27523.68</v>
      </c>
      <c r="J1920" s="13"/>
      <c r="K1920" s="13">
        <f>ROUND(27523.68,2)</f>
        <v>27523.68</v>
      </c>
      <c r="L1920" s="13"/>
      <c r="M1920" s="12">
        <f>ROUND(27523.68,2)</f>
        <v>27523.68</v>
      </c>
      <c r="N1920" s="12">
        <f>ROUND(27523.68,2)</f>
        <v>27523.68</v>
      </c>
      <c r="O1920" s="12">
        <f>ROUND(1.01,2)</f>
        <v>1.01</v>
      </c>
      <c r="P1920" s="14">
        <v>0.0036694327892521222</v>
      </c>
      <c r="Q1920" s="14">
        <v>99.99633056721076</v>
      </c>
    </row>
    <row r="1921" spans="1:17" ht="12.75" customHeight="1">
      <c r="A1921" s="15" t="s">
        <v>1212</v>
      </c>
      <c r="B1921" s="15"/>
      <c r="C1921" s="15"/>
      <c r="D1921" s="15"/>
      <c r="E1921" s="16" t="s">
        <v>1022</v>
      </c>
      <c r="F1921" s="17">
        <f>ROUND(0,2)</f>
        <v>0</v>
      </c>
      <c r="G1921" s="17">
        <f>ROUND(0,2)</f>
        <v>0</v>
      </c>
      <c r="H1921" s="17">
        <f>ROUND(0,2)</f>
        <v>0</v>
      </c>
      <c r="I1921" s="17">
        <f>ROUND(0,2)</f>
        <v>0</v>
      </c>
      <c r="J1921" s="17"/>
      <c r="K1921" s="17">
        <f>ROUND(0,2)</f>
        <v>0</v>
      </c>
      <c r="L1921" s="17"/>
      <c r="M1921" s="17">
        <f>ROUND(0,2)</f>
        <v>0</v>
      </c>
      <c r="N1921" s="17">
        <f>ROUND(0,2)</f>
        <v>0</v>
      </c>
      <c r="O1921" s="17">
        <f>ROUND(1.0099999999984,2)</f>
        <v>1.01</v>
      </c>
      <c r="P1921" s="18">
        <v>99.99633056721076</v>
      </c>
      <c r="Q1921" s="18">
        <v>100</v>
      </c>
    </row>
    <row r="1922" spans="1:17" ht="12.75" customHeight="1">
      <c r="A1922" s="10"/>
      <c r="B1922" s="11" t="s">
        <v>1213</v>
      </c>
      <c r="C1922" s="11"/>
      <c r="D1922" s="11"/>
      <c r="E1922" s="12">
        <f>ROUND(14352.64,2)</f>
        <v>14352.64</v>
      </c>
      <c r="F1922" s="12">
        <f>ROUND(129.17,2)</f>
        <v>129.17</v>
      </c>
      <c r="G1922" s="12">
        <f>ROUND(14481.81,2)</f>
        <v>14481.81</v>
      </c>
      <c r="H1922" s="12">
        <f>ROUND(19999.17,2)</f>
        <v>19999.17</v>
      </c>
      <c r="I1922" s="13">
        <f>ROUND(19999.17,2)</f>
        <v>19999.17</v>
      </c>
      <c r="J1922" s="13"/>
      <c r="K1922" s="13">
        <f>ROUND(19999.17,2)</f>
        <v>19999.17</v>
      </c>
      <c r="L1922" s="13"/>
      <c r="M1922" s="12">
        <f>ROUND(19999.17,2)</f>
        <v>19999.17</v>
      </c>
      <c r="N1922" s="12">
        <f>ROUND(19999.17,2)</f>
        <v>19999.17</v>
      </c>
      <c r="O1922" s="12">
        <f>ROUND(-5517.36,2)</f>
        <v>-5517.36</v>
      </c>
      <c r="P1922" s="14">
        <v>-38.098552598052315</v>
      </c>
      <c r="Q1922" s="14">
        <v>138.0985525980523</v>
      </c>
    </row>
    <row r="1923" spans="1:17" ht="12.75" customHeight="1">
      <c r="A1923" s="15" t="s">
        <v>1214</v>
      </c>
      <c r="B1923" s="15"/>
      <c r="C1923" s="15"/>
      <c r="D1923" s="15"/>
      <c r="E1923" s="16" t="s">
        <v>1022</v>
      </c>
      <c r="F1923" s="17">
        <f>ROUND(0,2)</f>
        <v>0</v>
      </c>
      <c r="G1923" s="17">
        <f>ROUND(0,2)</f>
        <v>0</v>
      </c>
      <c r="H1923" s="17">
        <f>ROUND(0,2)</f>
        <v>0</v>
      </c>
      <c r="I1923" s="17">
        <f>ROUND(0,2)</f>
        <v>0</v>
      </c>
      <c r="J1923" s="17"/>
      <c r="K1923" s="17">
        <f>ROUND(0,2)</f>
        <v>0</v>
      </c>
      <c r="L1923" s="17"/>
      <c r="M1923" s="17">
        <f>ROUND(0,2)</f>
        <v>0</v>
      </c>
      <c r="N1923" s="17">
        <f>ROUND(0,2)</f>
        <v>0</v>
      </c>
      <c r="O1923" s="17">
        <f>ROUND(-5517.36,2)</f>
        <v>-5517.36</v>
      </c>
      <c r="P1923" s="18">
        <v>138.0985525980523</v>
      </c>
      <c r="Q1923" s="18">
        <v>100</v>
      </c>
    </row>
    <row r="1924" spans="1:17" ht="12.75" customHeight="1">
      <c r="A1924" s="10"/>
      <c r="B1924" s="11" t="s">
        <v>1215</v>
      </c>
      <c r="C1924" s="11"/>
      <c r="D1924" s="11"/>
      <c r="E1924" s="12">
        <f>ROUND(63715.6,2)</f>
        <v>63715.6</v>
      </c>
      <c r="F1924" s="12">
        <f>ROUND(573.44,2)</f>
        <v>573.44</v>
      </c>
      <c r="G1924" s="12">
        <f>ROUND(64289.04,2)</f>
        <v>64289.04</v>
      </c>
      <c r="H1924" s="12">
        <f>ROUND(47982.34,2)</f>
        <v>47982.34</v>
      </c>
      <c r="I1924" s="13">
        <f>ROUND(47982.34,2)</f>
        <v>47982.34</v>
      </c>
      <c r="J1924" s="13"/>
      <c r="K1924" s="13">
        <f>ROUND(47982.34,2)</f>
        <v>47982.34</v>
      </c>
      <c r="L1924" s="13"/>
      <c r="M1924" s="12">
        <f>ROUND(47982.34,2)</f>
        <v>47982.34</v>
      </c>
      <c r="N1924" s="12">
        <f>ROUND(47982.34,2)</f>
        <v>47982.34</v>
      </c>
      <c r="O1924" s="12">
        <f>ROUND(16306.7,2)</f>
        <v>16306.7</v>
      </c>
      <c r="P1924" s="14">
        <v>25.364665579078487</v>
      </c>
      <c r="Q1924" s="14">
        <v>74.63533442092151</v>
      </c>
    </row>
    <row r="1925" spans="1:17" ht="12.75" customHeight="1">
      <c r="A1925" s="15" t="s">
        <v>1216</v>
      </c>
      <c r="B1925" s="15"/>
      <c r="C1925" s="15"/>
      <c r="D1925" s="15"/>
      <c r="E1925" s="16" t="s">
        <v>1022</v>
      </c>
      <c r="F1925" s="17">
        <f>ROUND(0,2)</f>
        <v>0</v>
      </c>
      <c r="G1925" s="17">
        <f>ROUND(0,2)</f>
        <v>0</v>
      </c>
      <c r="H1925" s="17">
        <f aca="true" t="shared" si="1123" ref="H1925:H1929">ROUND(0,2)</f>
        <v>0</v>
      </c>
      <c r="I1925" s="17">
        <f aca="true" t="shared" si="1124" ref="I1925:I1929">ROUND(0,2)</f>
        <v>0</v>
      </c>
      <c r="J1925" s="17"/>
      <c r="K1925" s="17">
        <f aca="true" t="shared" si="1125" ref="K1925:K1929">ROUND(0,2)</f>
        <v>0</v>
      </c>
      <c r="L1925" s="17"/>
      <c r="M1925" s="17">
        <f aca="true" t="shared" si="1126" ref="M1925:M1929">ROUND(0,2)</f>
        <v>0</v>
      </c>
      <c r="N1925" s="17">
        <f aca="true" t="shared" si="1127" ref="N1925:N1929">ROUND(0,2)</f>
        <v>0</v>
      </c>
      <c r="O1925" s="17">
        <f>ROUND(16306.7,2)</f>
        <v>16306.7</v>
      </c>
      <c r="P1925" s="18">
        <v>74.63533442092151</v>
      </c>
      <c r="Q1925" s="18">
        <v>100</v>
      </c>
    </row>
    <row r="1926" spans="1:17" ht="12.75" customHeight="1">
      <c r="A1926" s="10"/>
      <c r="B1926" s="11" t="s">
        <v>1217</v>
      </c>
      <c r="C1926" s="11"/>
      <c r="D1926" s="11"/>
      <c r="E1926" s="12">
        <f>ROUND(14006.94,2)</f>
        <v>14006.94</v>
      </c>
      <c r="F1926" s="12">
        <f>ROUND(126.06,2)</f>
        <v>126.06</v>
      </c>
      <c r="G1926" s="12">
        <f>ROUND(14133,2)</f>
        <v>14133</v>
      </c>
      <c r="H1926" s="12">
        <f t="shared" si="1123"/>
        <v>0</v>
      </c>
      <c r="I1926" s="13">
        <f t="shared" si="1124"/>
        <v>0</v>
      </c>
      <c r="J1926" s="13"/>
      <c r="K1926" s="13">
        <f t="shared" si="1125"/>
        <v>0</v>
      </c>
      <c r="L1926" s="13"/>
      <c r="M1926" s="12">
        <f t="shared" si="1126"/>
        <v>0</v>
      </c>
      <c r="N1926" s="12">
        <f t="shared" si="1127"/>
        <v>0</v>
      </c>
      <c r="O1926" s="12">
        <f aca="true" t="shared" si="1128" ref="O1926:O1927">ROUND(14133,2)</f>
        <v>14133</v>
      </c>
      <c r="P1926" s="14">
        <v>100</v>
      </c>
      <c r="Q1926" s="14">
        <v>0</v>
      </c>
    </row>
    <row r="1927" spans="1:17" ht="12.75" customHeight="1">
      <c r="A1927" s="15" t="s">
        <v>1218</v>
      </c>
      <c r="B1927" s="15"/>
      <c r="C1927" s="15"/>
      <c r="D1927" s="15"/>
      <c r="E1927" s="16" t="s">
        <v>1022</v>
      </c>
      <c r="F1927" s="17">
        <f>ROUND(0,2)</f>
        <v>0</v>
      </c>
      <c r="G1927" s="17">
        <f>ROUND(0,2)</f>
        <v>0</v>
      </c>
      <c r="H1927" s="17">
        <f t="shared" si="1123"/>
        <v>0</v>
      </c>
      <c r="I1927" s="17">
        <f t="shared" si="1124"/>
        <v>0</v>
      </c>
      <c r="J1927" s="17"/>
      <c r="K1927" s="17">
        <f t="shared" si="1125"/>
        <v>0</v>
      </c>
      <c r="L1927" s="17"/>
      <c r="M1927" s="17">
        <f t="shared" si="1126"/>
        <v>0</v>
      </c>
      <c r="N1927" s="17">
        <f t="shared" si="1127"/>
        <v>0</v>
      </c>
      <c r="O1927" s="17">
        <f t="shared" si="1128"/>
        <v>14133</v>
      </c>
      <c r="P1927" s="18">
        <v>0</v>
      </c>
      <c r="Q1927" s="18">
        <v>0</v>
      </c>
    </row>
    <row r="1928" spans="1:17" ht="12.75" customHeight="1">
      <c r="A1928" s="10"/>
      <c r="B1928" s="11" t="s">
        <v>1219</v>
      </c>
      <c r="C1928" s="11"/>
      <c r="D1928" s="11"/>
      <c r="E1928" s="12">
        <f>ROUND(10727.78,2)</f>
        <v>10727.78</v>
      </c>
      <c r="F1928" s="12">
        <f>ROUND(96.55,2)</f>
        <v>96.55</v>
      </c>
      <c r="G1928" s="12">
        <f>ROUND(10824.33,2)</f>
        <v>10824.33</v>
      </c>
      <c r="H1928" s="12">
        <f t="shared" si="1123"/>
        <v>0</v>
      </c>
      <c r="I1928" s="13">
        <f t="shared" si="1124"/>
        <v>0</v>
      </c>
      <c r="J1928" s="13"/>
      <c r="K1928" s="13">
        <f t="shared" si="1125"/>
        <v>0</v>
      </c>
      <c r="L1928" s="13"/>
      <c r="M1928" s="12">
        <f t="shared" si="1126"/>
        <v>0</v>
      </c>
      <c r="N1928" s="12">
        <f t="shared" si="1127"/>
        <v>0</v>
      </c>
      <c r="O1928" s="12">
        <f aca="true" t="shared" si="1129" ref="O1928:O1929">ROUND(10824.33,2)</f>
        <v>10824.33</v>
      </c>
      <c r="P1928" s="14">
        <v>100</v>
      </c>
      <c r="Q1928" s="14">
        <v>0</v>
      </c>
    </row>
    <row r="1929" spans="1:17" ht="12.75" customHeight="1">
      <c r="A1929" s="15" t="s">
        <v>1220</v>
      </c>
      <c r="B1929" s="15"/>
      <c r="C1929" s="15"/>
      <c r="D1929" s="15"/>
      <c r="E1929" s="16" t="s">
        <v>1022</v>
      </c>
      <c r="F1929" s="17">
        <f>ROUND(0,2)</f>
        <v>0</v>
      </c>
      <c r="G1929" s="17">
        <f>ROUND(0,2)</f>
        <v>0</v>
      </c>
      <c r="H1929" s="17">
        <f t="shared" si="1123"/>
        <v>0</v>
      </c>
      <c r="I1929" s="17">
        <f t="shared" si="1124"/>
        <v>0</v>
      </c>
      <c r="J1929" s="17"/>
      <c r="K1929" s="17">
        <f t="shared" si="1125"/>
        <v>0</v>
      </c>
      <c r="L1929" s="17"/>
      <c r="M1929" s="17">
        <f t="shared" si="1126"/>
        <v>0</v>
      </c>
      <c r="N1929" s="17">
        <f t="shared" si="1127"/>
        <v>0</v>
      </c>
      <c r="O1929" s="17">
        <f t="shared" si="1129"/>
        <v>10824.33</v>
      </c>
      <c r="P1929" s="18">
        <v>0</v>
      </c>
      <c r="Q1929" s="18">
        <v>0</v>
      </c>
    </row>
    <row r="1930" spans="1:17" ht="12.75" customHeight="1">
      <c r="A1930" s="19" t="s">
        <v>48</v>
      </c>
      <c r="B1930" s="19"/>
      <c r="C1930" s="19"/>
      <c r="D1930" s="19"/>
      <c r="E1930" s="20">
        <f>SUM('DS1'!$A$485:$A$489)</f>
        <v>130082.14</v>
      </c>
      <c r="F1930" s="20">
        <v>1170.73</v>
      </c>
      <c r="G1930" s="20">
        <v>131252.87</v>
      </c>
      <c r="H1930" s="20">
        <v>95505.19</v>
      </c>
      <c r="I1930" s="21">
        <v>95505.19</v>
      </c>
      <c r="J1930" s="21"/>
      <c r="K1930" s="21">
        <v>95505.19</v>
      </c>
      <c r="L1930" s="21"/>
      <c r="M1930" s="20">
        <v>95505.19</v>
      </c>
      <c r="N1930" s="20">
        <v>95505.19</v>
      </c>
      <c r="O1930" s="20">
        <v>35747.68</v>
      </c>
      <c r="P1930" s="22">
        <v>27.235732064373146</v>
      </c>
      <c r="Q1930" s="22">
        <v>72.76426793562686</v>
      </c>
    </row>
    <row r="1931" spans="1:17" ht="12.75" customHeight="1">
      <c r="A1931" s="23"/>
      <c r="B1931" s="24"/>
      <c r="C1931" s="24"/>
      <c r="D1931" s="24"/>
      <c r="E1931" s="23"/>
      <c r="F1931" s="20">
        <v>0</v>
      </c>
      <c r="G1931" s="20">
        <v>0</v>
      </c>
      <c r="H1931" s="20">
        <v>0</v>
      </c>
      <c r="I1931" s="21">
        <v>0</v>
      </c>
      <c r="J1931" s="21"/>
      <c r="K1931" s="21">
        <v>0</v>
      </c>
      <c r="L1931" s="21"/>
      <c r="M1931" s="20">
        <v>0</v>
      </c>
      <c r="N1931" s="20">
        <v>0</v>
      </c>
      <c r="O1931" s="20">
        <v>35747.68000000001</v>
      </c>
      <c r="P1931" s="22">
        <v>72.76426793562686</v>
      </c>
      <c r="Q1931" s="22">
        <v>100</v>
      </c>
    </row>
    <row r="1932" spans="1:17" ht="20.25" customHeight="1">
      <c r="A1932" s="23"/>
      <c r="B1932" s="24"/>
      <c r="C1932" s="24"/>
      <c r="D1932" s="24"/>
      <c r="E1932" s="23"/>
      <c r="F1932" s="23"/>
      <c r="G1932" s="23"/>
      <c r="H1932" s="23"/>
      <c r="I1932" s="24"/>
      <c r="J1932" s="24"/>
      <c r="K1932" s="24"/>
      <c r="L1932" s="24"/>
      <c r="M1932" s="23"/>
      <c r="N1932" s="23"/>
      <c r="O1932" s="23"/>
      <c r="P1932" s="23"/>
      <c r="Q1932" s="23"/>
    </row>
    <row r="1933" spans="1:17" ht="12.75" customHeight="1">
      <c r="A1933" s="10"/>
      <c r="B1933" s="11" t="s">
        <v>1221</v>
      </c>
      <c r="C1933" s="11"/>
      <c r="D1933" s="11"/>
      <c r="E1933" s="12">
        <f>ROUND(15994.2,2)</f>
        <v>15994.2</v>
      </c>
      <c r="F1933" s="12">
        <f>ROUND(143.95,2)</f>
        <v>143.95</v>
      </c>
      <c r="G1933" s="12">
        <f>ROUND(16138.15,2)</f>
        <v>16138.15</v>
      </c>
      <c r="H1933" s="12">
        <f>ROUND(10652.55,2)</f>
        <v>10652.55</v>
      </c>
      <c r="I1933" s="13">
        <f>ROUND(10652.55,2)</f>
        <v>10652.55</v>
      </c>
      <c r="J1933" s="13"/>
      <c r="K1933" s="13">
        <f>ROUND(10652.55,2)</f>
        <v>10652.55</v>
      </c>
      <c r="L1933" s="13"/>
      <c r="M1933" s="12">
        <f>ROUND(10652.55,2)</f>
        <v>10652.55</v>
      </c>
      <c r="N1933" s="12">
        <f>ROUND(10652.55,2)</f>
        <v>10652.55</v>
      </c>
      <c r="O1933" s="12">
        <f>ROUND(5485.6,2)</f>
        <v>5485.6</v>
      </c>
      <c r="P1933" s="14">
        <v>33.99150460244824</v>
      </c>
      <c r="Q1933" s="14">
        <v>66.00849539755175</v>
      </c>
    </row>
    <row r="1934" spans="1:17" ht="12.75" customHeight="1">
      <c r="A1934" s="15" t="s">
        <v>1222</v>
      </c>
      <c r="B1934" s="15"/>
      <c r="C1934" s="15"/>
      <c r="D1934" s="15"/>
      <c r="E1934" s="16" t="s">
        <v>1022</v>
      </c>
      <c r="F1934" s="17">
        <f>ROUND(0,2)</f>
        <v>0</v>
      </c>
      <c r="G1934" s="17">
        <f>ROUND(0,2)</f>
        <v>0</v>
      </c>
      <c r="H1934" s="17">
        <f>ROUND(0,2)</f>
        <v>0</v>
      </c>
      <c r="I1934" s="17">
        <f>ROUND(0,2)</f>
        <v>0</v>
      </c>
      <c r="J1934" s="17"/>
      <c r="K1934" s="17">
        <f>ROUND(0,2)</f>
        <v>0</v>
      </c>
      <c r="L1934" s="17"/>
      <c r="M1934" s="17">
        <f>ROUND(0,2)</f>
        <v>0</v>
      </c>
      <c r="N1934" s="17">
        <f>ROUND(0,2)</f>
        <v>0</v>
      </c>
      <c r="O1934" s="17">
        <f>ROUND(5485.6,2)</f>
        <v>5485.6</v>
      </c>
      <c r="P1934" s="18">
        <v>66.00849539755175</v>
      </c>
      <c r="Q1934" s="18">
        <v>100</v>
      </c>
    </row>
    <row r="1935" spans="1:17" ht="12.75" customHeight="1">
      <c r="A1935" s="10"/>
      <c r="B1935" s="11" t="s">
        <v>1223</v>
      </c>
      <c r="C1935" s="11"/>
      <c r="D1935" s="11"/>
      <c r="E1935" s="12">
        <f>ROUND(81716.18,2)</f>
        <v>81716.18</v>
      </c>
      <c r="F1935" s="12">
        <f>ROUND(735.45,2)</f>
        <v>735.45</v>
      </c>
      <c r="G1935" s="12">
        <f>ROUND(82451.63,2)</f>
        <v>82451.63</v>
      </c>
      <c r="H1935" s="12">
        <f>ROUND(57243.26,2)</f>
        <v>57243.26</v>
      </c>
      <c r="I1935" s="13">
        <f>ROUND(57243.26,2)</f>
        <v>57243.26</v>
      </c>
      <c r="J1935" s="13"/>
      <c r="K1935" s="13">
        <f>ROUND(57243.26,2)</f>
        <v>57243.26</v>
      </c>
      <c r="L1935" s="13"/>
      <c r="M1935" s="12">
        <f>ROUND(57243.26,2)</f>
        <v>57243.26</v>
      </c>
      <c r="N1935" s="12">
        <f>ROUND(57243.26,2)</f>
        <v>57243.26</v>
      </c>
      <c r="O1935" s="12">
        <f>ROUND(25208.37,2)</f>
        <v>25208.37</v>
      </c>
      <c r="P1935" s="14">
        <v>30.573525350560082</v>
      </c>
      <c r="Q1935" s="14">
        <v>69.42647464943992</v>
      </c>
    </row>
    <row r="1936" spans="1:17" ht="12.75" customHeight="1">
      <c r="A1936" s="15" t="s">
        <v>1224</v>
      </c>
      <c r="B1936" s="15"/>
      <c r="C1936" s="15"/>
      <c r="D1936" s="15"/>
      <c r="E1936" s="16" t="s">
        <v>1022</v>
      </c>
      <c r="F1936" s="17">
        <f>ROUND(0,2)</f>
        <v>0</v>
      </c>
      <c r="G1936" s="17">
        <f>ROUND(0,2)</f>
        <v>0</v>
      </c>
      <c r="H1936" s="17">
        <f>ROUND(0,2)</f>
        <v>0</v>
      </c>
      <c r="I1936" s="17">
        <f>ROUND(0,2)</f>
        <v>0</v>
      </c>
      <c r="J1936" s="17"/>
      <c r="K1936" s="17">
        <f>ROUND(0,2)</f>
        <v>0</v>
      </c>
      <c r="L1936" s="17"/>
      <c r="M1936" s="17">
        <f>ROUND(0,2)</f>
        <v>0</v>
      </c>
      <c r="N1936" s="17">
        <f>ROUND(0,2)</f>
        <v>0</v>
      </c>
      <c r="O1936" s="17">
        <f>ROUND(25208.37,2)</f>
        <v>25208.37</v>
      </c>
      <c r="P1936" s="18">
        <v>69.42647464943992</v>
      </c>
      <c r="Q1936" s="18">
        <v>100</v>
      </c>
    </row>
    <row r="1937" spans="1:17" ht="12.75" customHeight="1">
      <c r="A1937" s="10"/>
      <c r="B1937" s="11" t="s">
        <v>1225</v>
      </c>
      <c r="C1937" s="11"/>
      <c r="D1937" s="11"/>
      <c r="E1937" s="12">
        <f>ROUND(184427.18,2)</f>
        <v>184427.18</v>
      </c>
      <c r="F1937" s="12">
        <f>ROUND(1659.84,2)</f>
        <v>1659.84</v>
      </c>
      <c r="G1937" s="12">
        <f>ROUND(186087.02,2)</f>
        <v>186087.02</v>
      </c>
      <c r="H1937" s="12">
        <f>ROUND(136973.6,2)</f>
        <v>136973.6</v>
      </c>
      <c r="I1937" s="13">
        <f>ROUND(136973.6,2)</f>
        <v>136973.6</v>
      </c>
      <c r="J1937" s="13"/>
      <c r="K1937" s="13">
        <f>ROUND(136973.6,2)</f>
        <v>136973.6</v>
      </c>
      <c r="L1937" s="13"/>
      <c r="M1937" s="12">
        <f>ROUND(136973.6,2)</f>
        <v>136973.6</v>
      </c>
      <c r="N1937" s="12">
        <f>ROUND(136973.6,2)</f>
        <v>136973.6</v>
      </c>
      <c r="O1937" s="12">
        <f>ROUND(49113.42,2)</f>
        <v>49113.42</v>
      </c>
      <c r="P1937" s="14">
        <v>26.392716697811597</v>
      </c>
      <c r="Q1937" s="14">
        <v>73.6072833021884</v>
      </c>
    </row>
    <row r="1938" spans="1:17" ht="12.75" customHeight="1">
      <c r="A1938" s="15" t="s">
        <v>1226</v>
      </c>
      <c r="B1938" s="15"/>
      <c r="C1938" s="15"/>
      <c r="D1938" s="15"/>
      <c r="E1938" s="16" t="s">
        <v>1022</v>
      </c>
      <c r="F1938" s="17">
        <f>ROUND(0,2)</f>
        <v>0</v>
      </c>
      <c r="G1938" s="17">
        <f>ROUND(0,2)</f>
        <v>0</v>
      </c>
      <c r="H1938" s="17">
        <f>ROUND(0,2)</f>
        <v>0</v>
      </c>
      <c r="I1938" s="17">
        <f>ROUND(0,2)</f>
        <v>0</v>
      </c>
      <c r="J1938" s="17"/>
      <c r="K1938" s="17">
        <f>ROUND(0,2)</f>
        <v>0</v>
      </c>
      <c r="L1938" s="17"/>
      <c r="M1938" s="17">
        <f>ROUND(0,2)</f>
        <v>0</v>
      </c>
      <c r="N1938" s="17">
        <f>ROUND(0,2)</f>
        <v>0</v>
      </c>
      <c r="O1938" s="17">
        <f>ROUND(49113.42,2)</f>
        <v>49113.42</v>
      </c>
      <c r="P1938" s="18">
        <v>73.6072833021884</v>
      </c>
      <c r="Q1938" s="18">
        <v>100</v>
      </c>
    </row>
    <row r="1939" spans="1:17" ht="12.75" customHeight="1">
      <c r="A1939" s="19" t="s">
        <v>57</v>
      </c>
      <c r="B1939" s="19"/>
      <c r="C1939" s="19"/>
      <c r="D1939" s="19"/>
      <c r="E1939" s="20">
        <f>SUM('DS1'!$A$490:$A$492)</f>
        <v>282137.56</v>
      </c>
      <c r="F1939" s="20">
        <v>2539.24</v>
      </c>
      <c r="G1939" s="20">
        <v>284676.8</v>
      </c>
      <c r="H1939" s="20">
        <v>204869.41</v>
      </c>
      <c r="I1939" s="21">
        <v>204869.41</v>
      </c>
      <c r="J1939" s="21"/>
      <c r="K1939" s="21">
        <v>204869.41</v>
      </c>
      <c r="L1939" s="21"/>
      <c r="M1939" s="20">
        <v>204869.41</v>
      </c>
      <c r="N1939" s="20">
        <v>204869.41</v>
      </c>
      <c r="O1939" s="20">
        <v>79807.39</v>
      </c>
      <c r="P1939" s="22">
        <v>28.034384958661896</v>
      </c>
      <c r="Q1939" s="22">
        <v>71.96561504133811</v>
      </c>
    </row>
    <row r="1940" spans="1:17" ht="12.75" customHeight="1">
      <c r="A1940" s="23"/>
      <c r="B1940" s="24"/>
      <c r="C1940" s="24"/>
      <c r="D1940" s="24"/>
      <c r="E1940" s="23"/>
      <c r="F1940" s="20">
        <v>0</v>
      </c>
      <c r="G1940" s="20">
        <v>0</v>
      </c>
      <c r="H1940" s="20">
        <v>0</v>
      </c>
      <c r="I1940" s="21">
        <v>0</v>
      </c>
      <c r="J1940" s="21"/>
      <c r="K1940" s="21">
        <v>0</v>
      </c>
      <c r="L1940" s="21"/>
      <c r="M1940" s="20">
        <v>0</v>
      </c>
      <c r="N1940" s="20">
        <v>0</v>
      </c>
      <c r="O1940" s="20">
        <v>79807.38999999997</v>
      </c>
      <c r="P1940" s="22">
        <v>71.96561504133811</v>
      </c>
      <c r="Q1940" s="22">
        <v>100</v>
      </c>
    </row>
    <row r="1941" spans="1:17" ht="20.25" customHeight="1">
      <c r="A1941" s="23"/>
      <c r="B1941" s="24"/>
      <c r="C1941" s="24"/>
      <c r="D1941" s="24"/>
      <c r="E1941" s="23"/>
      <c r="F1941" s="23"/>
      <c r="G1941" s="23"/>
      <c r="H1941" s="23"/>
      <c r="I1941" s="24"/>
      <c r="J1941" s="24"/>
      <c r="K1941" s="24"/>
      <c r="L1941" s="24"/>
      <c r="M1941" s="23"/>
      <c r="N1941" s="23"/>
      <c r="O1941" s="23"/>
      <c r="P1941" s="23"/>
      <c r="Q1941" s="23"/>
    </row>
    <row r="1942" spans="1:17" ht="12.75" customHeight="1">
      <c r="A1942" s="10"/>
      <c r="B1942" s="11" t="s">
        <v>1227</v>
      </c>
      <c r="C1942" s="11"/>
      <c r="D1942" s="11"/>
      <c r="E1942" s="12">
        <f>ROUND(239258.32,2)</f>
        <v>239258.32</v>
      </c>
      <c r="F1942" s="12">
        <f>ROUND(2153.32,2)</f>
        <v>2153.32</v>
      </c>
      <c r="G1942" s="12">
        <f>ROUND(241411.64,2)</f>
        <v>241411.64</v>
      </c>
      <c r="H1942" s="12">
        <f>ROUND(248241.04,2)</f>
        <v>248241.04</v>
      </c>
      <c r="I1942" s="13">
        <f>ROUND(248241.04,2)</f>
        <v>248241.04</v>
      </c>
      <c r="J1942" s="13"/>
      <c r="K1942" s="13">
        <f>ROUND(248241.04,2)</f>
        <v>248241.04</v>
      </c>
      <c r="L1942" s="13"/>
      <c r="M1942" s="12">
        <f>ROUND(248241.04,2)</f>
        <v>248241.04</v>
      </c>
      <c r="N1942" s="12">
        <f>ROUND(248241.04,2)</f>
        <v>248241.04</v>
      </c>
      <c r="O1942" s="12">
        <f>ROUND(-6829.4,2)</f>
        <v>-6829.4</v>
      </c>
      <c r="P1942" s="14">
        <v>-2.828943956472024</v>
      </c>
      <c r="Q1942" s="14">
        <v>102.82894395647202</v>
      </c>
    </row>
    <row r="1943" spans="1:17" ht="12.75" customHeight="1">
      <c r="A1943" s="15" t="s">
        <v>1228</v>
      </c>
      <c r="B1943" s="15"/>
      <c r="C1943" s="15"/>
      <c r="D1943" s="15"/>
      <c r="E1943" s="16" t="s">
        <v>1022</v>
      </c>
      <c r="F1943" s="17">
        <f>ROUND(0,2)</f>
        <v>0</v>
      </c>
      <c r="G1943" s="17">
        <f>ROUND(0,2)</f>
        <v>0</v>
      </c>
      <c r="H1943" s="17">
        <f>ROUND(0,2)</f>
        <v>0</v>
      </c>
      <c r="I1943" s="17">
        <f>ROUND(0,2)</f>
        <v>0</v>
      </c>
      <c r="J1943" s="17"/>
      <c r="K1943" s="17">
        <f>ROUND(0,2)</f>
        <v>0</v>
      </c>
      <c r="L1943" s="17"/>
      <c r="M1943" s="17">
        <f>ROUND(0,2)</f>
        <v>0</v>
      </c>
      <c r="N1943" s="17">
        <f>ROUND(0,2)</f>
        <v>0</v>
      </c>
      <c r="O1943" s="17">
        <f>ROUND(-6829.39999999999,2)</f>
        <v>-6829.4</v>
      </c>
      <c r="P1943" s="18">
        <v>102.82894395647202</v>
      </c>
      <c r="Q1943" s="18">
        <v>100</v>
      </c>
    </row>
    <row r="1944" spans="1:17" ht="12.75" customHeight="1">
      <c r="A1944" s="19" t="s">
        <v>60</v>
      </c>
      <c r="B1944" s="19"/>
      <c r="C1944" s="19"/>
      <c r="D1944" s="19"/>
      <c r="E1944" s="20">
        <f>SUM('DS1'!$A$493)</f>
        <v>239258.32</v>
      </c>
      <c r="F1944" s="20">
        <v>2153.32</v>
      </c>
      <c r="G1944" s="20">
        <v>241411.64</v>
      </c>
      <c r="H1944" s="20">
        <v>248241.04</v>
      </c>
      <c r="I1944" s="21">
        <v>248241.04</v>
      </c>
      <c r="J1944" s="21"/>
      <c r="K1944" s="21">
        <v>248241.04</v>
      </c>
      <c r="L1944" s="21"/>
      <c r="M1944" s="20">
        <v>248241.04</v>
      </c>
      <c r="N1944" s="20">
        <v>248241.04</v>
      </c>
      <c r="O1944" s="20">
        <v>-6829.4</v>
      </c>
      <c r="P1944" s="22">
        <v>-2.828943956472024</v>
      </c>
      <c r="Q1944" s="22">
        <v>102.82894395647202</v>
      </c>
    </row>
    <row r="1945" spans="1:17" ht="12.75" customHeight="1">
      <c r="A1945" s="23"/>
      <c r="B1945" s="24"/>
      <c r="C1945" s="24"/>
      <c r="D1945" s="24"/>
      <c r="E1945" s="23"/>
      <c r="F1945" s="20">
        <v>0</v>
      </c>
      <c r="G1945" s="20">
        <v>0</v>
      </c>
      <c r="H1945" s="20">
        <v>0</v>
      </c>
      <c r="I1945" s="21">
        <v>0</v>
      </c>
      <c r="J1945" s="21"/>
      <c r="K1945" s="21">
        <v>0</v>
      </c>
      <c r="L1945" s="21"/>
      <c r="M1945" s="20">
        <v>0</v>
      </c>
      <c r="N1945" s="20">
        <v>0</v>
      </c>
      <c r="O1945" s="20">
        <v>-6829.399999999994</v>
      </c>
      <c r="P1945" s="22">
        <v>102.82894395647202</v>
      </c>
      <c r="Q1945" s="22">
        <v>100</v>
      </c>
    </row>
    <row r="1946" spans="1:17" ht="20.25" customHeight="1">
      <c r="A1946" s="23"/>
      <c r="B1946" s="24"/>
      <c r="C1946" s="24"/>
      <c r="D1946" s="24"/>
      <c r="E1946" s="23"/>
      <c r="F1946" s="23"/>
      <c r="G1946" s="23"/>
      <c r="H1946" s="23"/>
      <c r="I1946" s="24"/>
      <c r="J1946" s="24"/>
      <c r="K1946" s="24"/>
      <c r="L1946" s="24"/>
      <c r="M1946" s="23"/>
      <c r="N1946" s="23"/>
      <c r="O1946" s="23"/>
      <c r="P1946" s="23"/>
      <c r="Q1946" s="23"/>
    </row>
    <row r="1947" spans="1:17" ht="12.75" customHeight="1">
      <c r="A1947" s="10"/>
      <c r="B1947" s="11" t="s">
        <v>1229</v>
      </c>
      <c r="C1947" s="11"/>
      <c r="D1947" s="11"/>
      <c r="E1947" s="12">
        <f>ROUND(74923.92,2)</f>
        <v>74923.92</v>
      </c>
      <c r="F1947" s="12">
        <f>ROUND(674.32,2)</f>
        <v>674.32</v>
      </c>
      <c r="G1947" s="12">
        <f>ROUND(75598.24,2)</f>
        <v>75598.24</v>
      </c>
      <c r="H1947" s="12">
        <f>ROUND(74232.11,2)</f>
        <v>74232.11</v>
      </c>
      <c r="I1947" s="13">
        <f>ROUND(74232.11,2)</f>
        <v>74232.11</v>
      </c>
      <c r="J1947" s="13"/>
      <c r="K1947" s="13">
        <f>ROUND(74232.11,2)</f>
        <v>74232.11</v>
      </c>
      <c r="L1947" s="13"/>
      <c r="M1947" s="12">
        <f>ROUND(74232.11,2)</f>
        <v>74232.11</v>
      </c>
      <c r="N1947" s="12">
        <f>ROUND(74232.11,2)</f>
        <v>74232.11</v>
      </c>
      <c r="O1947" s="12">
        <f>ROUND(1366.13,2)</f>
        <v>1366.13</v>
      </c>
      <c r="P1947" s="14">
        <v>1.8070923344247167</v>
      </c>
      <c r="Q1947" s="14">
        <v>98.19290766557528</v>
      </c>
    </row>
    <row r="1948" spans="1:17" ht="12.75" customHeight="1">
      <c r="A1948" s="15" t="s">
        <v>1230</v>
      </c>
      <c r="B1948" s="15"/>
      <c r="C1948" s="15"/>
      <c r="D1948" s="15"/>
      <c r="E1948" s="16" t="s">
        <v>1022</v>
      </c>
      <c r="F1948" s="17">
        <f>ROUND(0,2)</f>
        <v>0</v>
      </c>
      <c r="G1948" s="17">
        <f>ROUND(0,2)</f>
        <v>0</v>
      </c>
      <c r="H1948" s="17">
        <f>ROUND(0,2)</f>
        <v>0</v>
      </c>
      <c r="I1948" s="17">
        <f>ROUND(0,2)</f>
        <v>0</v>
      </c>
      <c r="J1948" s="17"/>
      <c r="K1948" s="17">
        <f>ROUND(0,2)</f>
        <v>0</v>
      </c>
      <c r="L1948" s="17"/>
      <c r="M1948" s="17">
        <f>ROUND(0,2)</f>
        <v>0</v>
      </c>
      <c r="N1948" s="17">
        <f>ROUND(0,2)</f>
        <v>0</v>
      </c>
      <c r="O1948" s="17">
        <f>ROUND(1366.13,2)</f>
        <v>1366.13</v>
      </c>
      <c r="P1948" s="18">
        <v>98.19290766557528</v>
      </c>
      <c r="Q1948" s="18">
        <v>100</v>
      </c>
    </row>
    <row r="1949" spans="1:17" ht="12.75" customHeight="1">
      <c r="A1949" s="10"/>
      <c r="B1949" s="11" t="s">
        <v>1231</v>
      </c>
      <c r="C1949" s="11"/>
      <c r="D1949" s="11"/>
      <c r="E1949" s="12">
        <f>ROUND(136032.52,2)</f>
        <v>136032.52</v>
      </c>
      <c r="F1949" s="12">
        <f>ROUND(1224.29,2)</f>
        <v>1224.29</v>
      </c>
      <c r="G1949" s="12">
        <f>ROUND(137256.81,2)</f>
        <v>137256.81</v>
      </c>
      <c r="H1949" s="12">
        <f>ROUND(57366.83,2)</f>
        <v>57366.83</v>
      </c>
      <c r="I1949" s="13">
        <f>ROUND(57366.83,2)</f>
        <v>57366.83</v>
      </c>
      <c r="J1949" s="13"/>
      <c r="K1949" s="13">
        <f>ROUND(57366.83,2)</f>
        <v>57366.83</v>
      </c>
      <c r="L1949" s="13"/>
      <c r="M1949" s="12">
        <f>ROUND(57366.83,2)</f>
        <v>57366.83</v>
      </c>
      <c r="N1949" s="12">
        <f>ROUND(57366.83,2)</f>
        <v>57366.83</v>
      </c>
      <c r="O1949" s="12">
        <f aca="true" t="shared" si="1130" ref="O1949:O1950">ROUND(79889.98,2)</f>
        <v>79889.98</v>
      </c>
      <c r="P1949" s="14">
        <v>58.204747727999795</v>
      </c>
      <c r="Q1949" s="14">
        <v>41.795252272000205</v>
      </c>
    </row>
    <row r="1950" spans="1:17" ht="12.75" customHeight="1">
      <c r="A1950" s="15" t="s">
        <v>1232</v>
      </c>
      <c r="B1950" s="15"/>
      <c r="C1950" s="15"/>
      <c r="D1950" s="15"/>
      <c r="E1950" s="16" t="s">
        <v>1022</v>
      </c>
      <c r="F1950" s="17">
        <f>ROUND(0,2)</f>
        <v>0</v>
      </c>
      <c r="G1950" s="17">
        <f>ROUND(0,2)</f>
        <v>0</v>
      </c>
      <c r="H1950" s="17">
        <f>ROUND(0,2)</f>
        <v>0</v>
      </c>
      <c r="I1950" s="17">
        <f>ROUND(0,2)</f>
        <v>0</v>
      </c>
      <c r="J1950" s="17"/>
      <c r="K1950" s="17">
        <f>ROUND(0,2)</f>
        <v>0</v>
      </c>
      <c r="L1950" s="17"/>
      <c r="M1950" s="17">
        <f>ROUND(0,2)</f>
        <v>0</v>
      </c>
      <c r="N1950" s="17">
        <f>ROUND(0,2)</f>
        <v>0</v>
      </c>
      <c r="O1950" s="17">
        <f t="shared" si="1130"/>
        <v>79889.98</v>
      </c>
      <c r="P1950" s="18">
        <v>41.795252272000205</v>
      </c>
      <c r="Q1950" s="18">
        <v>100</v>
      </c>
    </row>
    <row r="1951" spans="1:17" ht="12.75" customHeight="1">
      <c r="A1951" s="19" t="s">
        <v>68</v>
      </c>
      <c r="B1951" s="19"/>
      <c r="C1951" s="19"/>
      <c r="D1951" s="19"/>
      <c r="E1951" s="20">
        <f>SUM('DS1'!$A$494:$A$495)</f>
        <v>210956.44</v>
      </c>
      <c r="F1951" s="20">
        <v>1898.61</v>
      </c>
      <c r="G1951" s="20">
        <v>212855.05</v>
      </c>
      <c r="H1951" s="20">
        <v>131598.94</v>
      </c>
      <c r="I1951" s="21">
        <v>131598.94</v>
      </c>
      <c r="J1951" s="21"/>
      <c r="K1951" s="21">
        <v>131598.94</v>
      </c>
      <c r="L1951" s="21"/>
      <c r="M1951" s="20">
        <v>131598.94</v>
      </c>
      <c r="N1951" s="20">
        <v>131598.94</v>
      </c>
      <c r="O1951" s="20">
        <v>81256.11</v>
      </c>
      <c r="P1951" s="22">
        <v>38.174386748165006</v>
      </c>
      <c r="Q1951" s="22">
        <v>61.825613251835</v>
      </c>
    </row>
    <row r="1952" spans="1:17" ht="12.75" customHeight="1">
      <c r="A1952" s="23"/>
      <c r="B1952" s="24"/>
      <c r="C1952" s="24"/>
      <c r="D1952" s="24"/>
      <c r="E1952" s="23"/>
      <c r="F1952" s="20">
        <v>0</v>
      </c>
      <c r="G1952" s="20">
        <v>0</v>
      </c>
      <c r="H1952" s="20">
        <v>0</v>
      </c>
      <c r="I1952" s="21">
        <v>0</v>
      </c>
      <c r="J1952" s="21"/>
      <c r="K1952" s="21">
        <v>0</v>
      </c>
      <c r="L1952" s="21"/>
      <c r="M1952" s="20">
        <v>0</v>
      </c>
      <c r="N1952" s="20">
        <v>0</v>
      </c>
      <c r="O1952" s="20">
        <v>81256.11</v>
      </c>
      <c r="P1952" s="22">
        <v>61.825613251835</v>
      </c>
      <c r="Q1952" s="22">
        <v>100</v>
      </c>
    </row>
    <row r="1953" spans="1:17" ht="20.25" customHeight="1">
      <c r="A1953" s="23"/>
      <c r="B1953" s="24"/>
      <c r="C1953" s="24"/>
      <c r="D1953" s="24"/>
      <c r="E1953" s="23"/>
      <c r="F1953" s="23"/>
      <c r="G1953" s="23"/>
      <c r="H1953" s="23"/>
      <c r="I1953" s="24"/>
      <c r="J1953" s="24"/>
      <c r="K1953" s="24"/>
      <c r="L1953" s="24"/>
      <c r="M1953" s="23"/>
      <c r="N1953" s="23"/>
      <c r="O1953" s="23"/>
      <c r="P1953" s="23"/>
      <c r="Q1953" s="23"/>
    </row>
    <row r="1954" spans="1:17" ht="12.75" customHeight="1">
      <c r="A1954" s="10"/>
      <c r="B1954" s="11" t="s">
        <v>1233</v>
      </c>
      <c r="C1954" s="11"/>
      <c r="D1954" s="11"/>
      <c r="E1954" s="12">
        <f>ROUND(8050,2)</f>
        <v>8050</v>
      </c>
      <c r="F1954" s="12">
        <f aca="true" t="shared" si="1131" ref="F1954:F1955">ROUND(0,2)</f>
        <v>0</v>
      </c>
      <c r="G1954" s="12">
        <f>ROUND(8050,2)</f>
        <v>8050</v>
      </c>
      <c r="H1954" s="12">
        <f>ROUND(8046.72,2)</f>
        <v>8046.72</v>
      </c>
      <c r="I1954" s="13">
        <f>ROUND(8046.72,2)</f>
        <v>8046.72</v>
      </c>
      <c r="J1954" s="13"/>
      <c r="K1954" s="13">
        <f>ROUND(8046.72,2)</f>
        <v>8046.72</v>
      </c>
      <c r="L1954" s="13"/>
      <c r="M1954" s="12">
        <f>ROUND(8046.72,2)</f>
        <v>8046.72</v>
      </c>
      <c r="N1954" s="12">
        <f>ROUND(8046.72,2)</f>
        <v>8046.72</v>
      </c>
      <c r="O1954" s="12">
        <f>ROUND(3.28,2)</f>
        <v>3.28</v>
      </c>
      <c r="P1954" s="14">
        <v>0.04074534161490683</v>
      </c>
      <c r="Q1954" s="14">
        <v>99.9592546583851</v>
      </c>
    </row>
    <row r="1955" spans="1:17" ht="12.75" customHeight="1">
      <c r="A1955" s="15" t="s">
        <v>1234</v>
      </c>
      <c r="B1955" s="15"/>
      <c r="C1955" s="15"/>
      <c r="D1955" s="15"/>
      <c r="E1955" s="16" t="s">
        <v>1235</v>
      </c>
      <c r="F1955" s="17">
        <f t="shared" si="1131"/>
        <v>0</v>
      </c>
      <c r="G1955" s="17">
        <f>ROUND(0,2)</f>
        <v>0</v>
      </c>
      <c r="H1955" s="17">
        <f>ROUND(0,2)</f>
        <v>0</v>
      </c>
      <c r="I1955" s="17">
        <f>ROUND(0,2)</f>
        <v>0</v>
      </c>
      <c r="J1955" s="17"/>
      <c r="K1955" s="17">
        <f>ROUND(0,2)</f>
        <v>0</v>
      </c>
      <c r="L1955" s="17"/>
      <c r="M1955" s="17">
        <f>ROUND(0,2)</f>
        <v>0</v>
      </c>
      <c r="N1955" s="17">
        <f>ROUND(0,2)</f>
        <v>0</v>
      </c>
      <c r="O1955" s="17">
        <f>ROUND(3.27999999999975,2)</f>
        <v>3.28</v>
      </c>
      <c r="P1955" s="18">
        <v>99.9592546583851</v>
      </c>
      <c r="Q1955" s="18">
        <v>100</v>
      </c>
    </row>
    <row r="1956" spans="1:17" ht="12.75" customHeight="1">
      <c r="A1956" s="19" t="s">
        <v>271</v>
      </c>
      <c r="B1956" s="19"/>
      <c r="C1956" s="19"/>
      <c r="D1956" s="19"/>
      <c r="E1956" s="20">
        <f>SUM('DS1'!$A$496)</f>
        <v>8050</v>
      </c>
      <c r="F1956" s="20">
        <v>0</v>
      </c>
      <c r="G1956" s="20">
        <v>8050</v>
      </c>
      <c r="H1956" s="20">
        <v>8046.72</v>
      </c>
      <c r="I1956" s="21">
        <v>8046.72</v>
      </c>
      <c r="J1956" s="21"/>
      <c r="K1956" s="21">
        <v>8046.72</v>
      </c>
      <c r="L1956" s="21"/>
      <c r="M1956" s="20">
        <v>8046.72</v>
      </c>
      <c r="N1956" s="20">
        <v>8046.72</v>
      </c>
      <c r="O1956" s="20">
        <v>3.28</v>
      </c>
      <c r="P1956" s="22">
        <v>0.04074534161490683</v>
      </c>
      <c r="Q1956" s="22">
        <v>99.9592546583851</v>
      </c>
    </row>
    <row r="1957" spans="1:17" ht="12.75" customHeight="1">
      <c r="A1957" s="23"/>
      <c r="B1957" s="24"/>
      <c r="C1957" s="24"/>
      <c r="D1957" s="24"/>
      <c r="E1957" s="23"/>
      <c r="F1957" s="20">
        <v>0</v>
      </c>
      <c r="G1957" s="20">
        <v>0</v>
      </c>
      <c r="H1957" s="20">
        <v>0</v>
      </c>
      <c r="I1957" s="21">
        <v>0</v>
      </c>
      <c r="J1957" s="21"/>
      <c r="K1957" s="21">
        <v>0</v>
      </c>
      <c r="L1957" s="21"/>
      <c r="M1957" s="20">
        <v>0</v>
      </c>
      <c r="N1957" s="20">
        <v>0</v>
      </c>
      <c r="O1957" s="20">
        <v>3.2799999999997453</v>
      </c>
      <c r="P1957" s="22">
        <v>99.9592546583851</v>
      </c>
      <c r="Q1957" s="22">
        <v>100</v>
      </c>
    </row>
    <row r="1958" spans="1:17" ht="20.25" customHeight="1">
      <c r="A1958" s="23"/>
      <c r="B1958" s="24"/>
      <c r="C1958" s="24"/>
      <c r="D1958" s="24"/>
      <c r="E1958" s="23"/>
      <c r="F1958" s="23"/>
      <c r="G1958" s="23"/>
      <c r="H1958" s="23"/>
      <c r="I1958" s="24"/>
      <c r="J1958" s="24"/>
      <c r="K1958" s="24"/>
      <c r="L1958" s="24"/>
      <c r="M1958" s="23"/>
      <c r="N1958" s="23"/>
      <c r="O1958" s="23"/>
      <c r="P1958" s="23"/>
      <c r="Q1958" s="23"/>
    </row>
    <row r="1959" spans="1:17" ht="12.75" customHeight="1">
      <c r="A1959" s="10"/>
      <c r="B1959" s="11" t="s">
        <v>1236</v>
      </c>
      <c r="C1959" s="11"/>
      <c r="D1959" s="11"/>
      <c r="E1959" s="12">
        <f>ROUND(20000,2)</f>
        <v>20000</v>
      </c>
      <c r="F1959" s="12">
        <f aca="true" t="shared" si="1132" ref="F1959:F1960">ROUND(0,2)</f>
        <v>0</v>
      </c>
      <c r="G1959" s="12">
        <f>ROUND(20000,2)</f>
        <v>20000</v>
      </c>
      <c r="H1959" s="12">
        <f>ROUND(12829.79,2)</f>
        <v>12829.79</v>
      </c>
      <c r="I1959" s="13">
        <f>ROUND(12829.79,2)</f>
        <v>12829.79</v>
      </c>
      <c r="J1959" s="13"/>
      <c r="K1959" s="13">
        <f>ROUND(12829.79,2)</f>
        <v>12829.79</v>
      </c>
      <c r="L1959" s="13"/>
      <c r="M1959" s="12">
        <f>ROUND(12829.79,2)</f>
        <v>12829.79</v>
      </c>
      <c r="N1959" s="12">
        <f>ROUND(12829.79,2)</f>
        <v>12829.79</v>
      </c>
      <c r="O1959" s="12">
        <f>ROUND(7170.21,2)</f>
        <v>7170.21</v>
      </c>
      <c r="P1959" s="14">
        <v>35.85105</v>
      </c>
      <c r="Q1959" s="14">
        <v>64.14895</v>
      </c>
    </row>
    <row r="1960" spans="1:17" ht="12.75" customHeight="1">
      <c r="A1960" s="15" t="s">
        <v>1237</v>
      </c>
      <c r="B1960" s="15"/>
      <c r="C1960" s="15"/>
      <c r="D1960" s="15"/>
      <c r="E1960" s="16" t="s">
        <v>1238</v>
      </c>
      <c r="F1960" s="17">
        <f t="shared" si="1132"/>
        <v>0</v>
      </c>
      <c r="G1960" s="17">
        <f>ROUND(0,2)</f>
        <v>0</v>
      </c>
      <c r="H1960" s="17">
        <f>ROUND(0,2)</f>
        <v>0</v>
      </c>
      <c r="I1960" s="17">
        <f>ROUND(0,2)</f>
        <v>0</v>
      </c>
      <c r="J1960" s="17"/>
      <c r="K1960" s="17">
        <f>ROUND(0,2)</f>
        <v>0</v>
      </c>
      <c r="L1960" s="17"/>
      <c r="M1960" s="17">
        <f>ROUND(0,2)</f>
        <v>0</v>
      </c>
      <c r="N1960" s="17">
        <f>ROUND(0,2)</f>
        <v>0</v>
      </c>
      <c r="O1960" s="17">
        <f>ROUND(7170.21,2)</f>
        <v>7170.21</v>
      </c>
      <c r="P1960" s="18">
        <v>64.14895</v>
      </c>
      <c r="Q1960" s="18">
        <v>100</v>
      </c>
    </row>
    <row r="1961" spans="1:17" ht="12.75" customHeight="1">
      <c r="A1961" s="19" t="s">
        <v>500</v>
      </c>
      <c r="B1961" s="19"/>
      <c r="C1961" s="19"/>
      <c r="D1961" s="19"/>
      <c r="E1961" s="20">
        <f>SUM('DS1'!$A$497)</f>
        <v>20000</v>
      </c>
      <c r="F1961" s="20">
        <v>0</v>
      </c>
      <c r="G1961" s="20">
        <v>20000</v>
      </c>
      <c r="H1961" s="20">
        <v>12829.79</v>
      </c>
      <c r="I1961" s="21">
        <v>12829.79</v>
      </c>
      <c r="J1961" s="21"/>
      <c r="K1961" s="21">
        <v>12829.79</v>
      </c>
      <c r="L1961" s="21"/>
      <c r="M1961" s="20">
        <v>12829.79</v>
      </c>
      <c r="N1961" s="20">
        <v>12829.79</v>
      </c>
      <c r="O1961" s="20">
        <v>7170.21</v>
      </c>
      <c r="P1961" s="22">
        <v>35.85105</v>
      </c>
      <c r="Q1961" s="22">
        <v>64.14895</v>
      </c>
    </row>
    <row r="1962" spans="1:17" ht="12.75" customHeight="1">
      <c r="A1962" s="23"/>
      <c r="B1962" s="24"/>
      <c r="C1962" s="24"/>
      <c r="D1962" s="24"/>
      <c r="E1962" s="23"/>
      <c r="F1962" s="20">
        <v>0</v>
      </c>
      <c r="G1962" s="20">
        <v>0</v>
      </c>
      <c r="H1962" s="20">
        <v>0</v>
      </c>
      <c r="I1962" s="21">
        <v>0</v>
      </c>
      <c r="J1962" s="21"/>
      <c r="K1962" s="21">
        <v>0</v>
      </c>
      <c r="L1962" s="21"/>
      <c r="M1962" s="20">
        <v>0</v>
      </c>
      <c r="N1962" s="20">
        <v>0</v>
      </c>
      <c r="O1962" s="20">
        <v>7170.209999999999</v>
      </c>
      <c r="P1962" s="22">
        <v>64.14895</v>
      </c>
      <c r="Q1962" s="22">
        <v>100</v>
      </c>
    </row>
    <row r="1963" spans="1:17" ht="20.25" customHeight="1">
      <c r="A1963" s="23"/>
      <c r="B1963" s="24"/>
      <c r="C1963" s="24"/>
      <c r="D1963" s="24"/>
      <c r="E1963" s="23"/>
      <c r="F1963" s="23"/>
      <c r="G1963" s="23"/>
      <c r="H1963" s="23"/>
      <c r="I1963" s="24"/>
      <c r="J1963" s="24"/>
      <c r="K1963" s="24"/>
      <c r="L1963" s="24"/>
      <c r="M1963" s="23"/>
      <c r="N1963" s="23"/>
      <c r="O1963" s="23"/>
      <c r="P1963" s="23"/>
      <c r="Q1963" s="23"/>
    </row>
    <row r="1964" spans="1:17" ht="12.75" customHeight="1">
      <c r="A1964" s="10"/>
      <c r="B1964" s="11" t="s">
        <v>1239</v>
      </c>
      <c r="C1964" s="11"/>
      <c r="D1964" s="11"/>
      <c r="E1964" s="12">
        <f>ROUND(50000,2)</f>
        <v>50000</v>
      </c>
      <c r="F1964" s="12">
        <f aca="true" t="shared" si="1133" ref="F1964:F1965">ROUND(0,2)</f>
        <v>0</v>
      </c>
      <c r="G1964" s="12">
        <f>ROUND(50000,2)</f>
        <v>50000</v>
      </c>
      <c r="H1964" s="12">
        <f>ROUND(19626.45,2)</f>
        <v>19626.45</v>
      </c>
      <c r="I1964" s="13">
        <f>ROUND(19626.45,2)</f>
        <v>19626.45</v>
      </c>
      <c r="J1964" s="13"/>
      <c r="K1964" s="13">
        <f>ROUND(19626.45,2)</f>
        <v>19626.45</v>
      </c>
      <c r="L1964" s="13"/>
      <c r="M1964" s="12">
        <f>ROUND(19626.45,2)</f>
        <v>19626.45</v>
      </c>
      <c r="N1964" s="12">
        <f>ROUND(17486.45,2)</f>
        <v>17486.45</v>
      </c>
      <c r="O1964" s="12">
        <f aca="true" t="shared" si="1134" ref="O1964:O1965">ROUND(30373.55,2)</f>
        <v>30373.55</v>
      </c>
      <c r="P1964" s="14">
        <v>60.747099999999996</v>
      </c>
      <c r="Q1964" s="14">
        <v>39.252900000000004</v>
      </c>
    </row>
    <row r="1965" spans="1:17" ht="12.75" customHeight="1">
      <c r="A1965" s="15" t="s">
        <v>1240</v>
      </c>
      <c r="B1965" s="15"/>
      <c r="C1965" s="15"/>
      <c r="D1965" s="15"/>
      <c r="E1965" s="16" t="s">
        <v>1238</v>
      </c>
      <c r="F1965" s="17">
        <f t="shared" si="1133"/>
        <v>0</v>
      </c>
      <c r="G1965" s="17">
        <f>ROUND(0,2)</f>
        <v>0</v>
      </c>
      <c r="H1965" s="17">
        <f>ROUND(0,2)</f>
        <v>0</v>
      </c>
      <c r="I1965" s="17">
        <f>ROUND(0,2)</f>
        <v>0</v>
      </c>
      <c r="J1965" s="17"/>
      <c r="K1965" s="17">
        <f>ROUND(0,2)</f>
        <v>0</v>
      </c>
      <c r="L1965" s="17"/>
      <c r="M1965" s="17">
        <f>ROUND(2140,2)</f>
        <v>2140</v>
      </c>
      <c r="N1965" s="17">
        <f>ROUND(0,2)</f>
        <v>0</v>
      </c>
      <c r="O1965" s="17">
        <f t="shared" si="1134"/>
        <v>30373.55</v>
      </c>
      <c r="P1965" s="18">
        <v>39.252900000000004</v>
      </c>
      <c r="Q1965" s="18">
        <v>89.09634702149395</v>
      </c>
    </row>
    <row r="1966" spans="1:17" ht="12.75" customHeight="1">
      <c r="A1966" s="19" t="s">
        <v>37</v>
      </c>
      <c r="B1966" s="19"/>
      <c r="C1966" s="19"/>
      <c r="D1966" s="19"/>
      <c r="E1966" s="20">
        <f>SUM('DS1'!$A$498)</f>
        <v>50000</v>
      </c>
      <c r="F1966" s="20">
        <v>0</v>
      </c>
      <c r="G1966" s="20">
        <v>50000</v>
      </c>
      <c r="H1966" s="20">
        <v>19626.45</v>
      </c>
      <c r="I1966" s="21">
        <v>19626.45</v>
      </c>
      <c r="J1966" s="21"/>
      <c r="K1966" s="21">
        <v>19626.45</v>
      </c>
      <c r="L1966" s="21"/>
      <c r="M1966" s="20">
        <v>19626.45</v>
      </c>
      <c r="N1966" s="20">
        <v>17486.45</v>
      </c>
      <c r="O1966" s="20">
        <v>30373.55</v>
      </c>
      <c r="P1966" s="22">
        <v>60.747099999999996</v>
      </c>
      <c r="Q1966" s="22">
        <v>39.252900000000004</v>
      </c>
    </row>
    <row r="1967" spans="1:17" ht="12.75" customHeight="1">
      <c r="A1967" s="23"/>
      <c r="B1967" s="24"/>
      <c r="C1967" s="24"/>
      <c r="D1967" s="24"/>
      <c r="E1967" s="23"/>
      <c r="F1967" s="20">
        <v>0</v>
      </c>
      <c r="G1967" s="20">
        <v>0</v>
      </c>
      <c r="H1967" s="20">
        <v>0</v>
      </c>
      <c r="I1967" s="21">
        <v>0</v>
      </c>
      <c r="J1967" s="21"/>
      <c r="K1967" s="21">
        <v>0</v>
      </c>
      <c r="L1967" s="21"/>
      <c r="M1967" s="20">
        <v>2140</v>
      </c>
      <c r="N1967" s="20">
        <v>0</v>
      </c>
      <c r="O1967" s="20">
        <v>30373.55</v>
      </c>
      <c r="P1967" s="22">
        <v>39.252900000000004</v>
      </c>
      <c r="Q1967" s="22">
        <v>89.09634702149395</v>
      </c>
    </row>
    <row r="1968" spans="1:17" ht="20.25" customHeight="1">
      <c r="A1968" s="23"/>
      <c r="B1968" s="24"/>
      <c r="C1968" s="24"/>
      <c r="D1968" s="24"/>
      <c r="E1968" s="23"/>
      <c r="F1968" s="23"/>
      <c r="G1968" s="23"/>
      <c r="H1968" s="23"/>
      <c r="I1968" s="24"/>
      <c r="J1968" s="24"/>
      <c r="K1968" s="24"/>
      <c r="L1968" s="24"/>
      <c r="M1968" s="23"/>
      <c r="N1968" s="23"/>
      <c r="O1968" s="23"/>
      <c r="P1968" s="23"/>
      <c r="Q1968" s="23"/>
    </row>
    <row r="1969" spans="1:17" ht="12.75" customHeight="1">
      <c r="A1969" s="10"/>
      <c r="B1969" s="11" t="s">
        <v>1241</v>
      </c>
      <c r="C1969" s="11"/>
      <c r="D1969" s="11"/>
      <c r="E1969" s="12">
        <f>ROUND(45000,2)</f>
        <v>45000</v>
      </c>
      <c r="F1969" s="12">
        <f aca="true" t="shared" si="1135" ref="F1969:F1970">ROUND(0,2)</f>
        <v>0</v>
      </c>
      <c r="G1969" s="12">
        <f>ROUND(45000,2)</f>
        <v>45000</v>
      </c>
      <c r="H1969" s="12">
        <f>ROUND(20657.82,2)</f>
        <v>20657.82</v>
      </c>
      <c r="I1969" s="13">
        <f>ROUND(20657.82,2)</f>
        <v>20657.82</v>
      </c>
      <c r="J1969" s="13"/>
      <c r="K1969" s="13">
        <f>ROUND(20657.82,2)</f>
        <v>20657.82</v>
      </c>
      <c r="L1969" s="13"/>
      <c r="M1969" s="12">
        <f>ROUND(20657.82,2)</f>
        <v>20657.82</v>
      </c>
      <c r="N1969" s="12">
        <f>ROUND(20282.59,2)</f>
        <v>20282.59</v>
      </c>
      <c r="O1969" s="12">
        <f aca="true" t="shared" si="1136" ref="O1969:O1970">ROUND(24342.18,2)</f>
        <v>24342.18</v>
      </c>
      <c r="P1969" s="14">
        <v>54.09373333333334</v>
      </c>
      <c r="Q1969" s="14">
        <v>45.90626666666667</v>
      </c>
    </row>
    <row r="1970" spans="1:17" ht="12.75" customHeight="1">
      <c r="A1970" s="15" t="s">
        <v>1242</v>
      </c>
      <c r="B1970" s="15"/>
      <c r="C1970" s="15"/>
      <c r="D1970" s="15"/>
      <c r="E1970" s="16" t="s">
        <v>1243</v>
      </c>
      <c r="F1970" s="17">
        <f t="shared" si="1135"/>
        <v>0</v>
      </c>
      <c r="G1970" s="17">
        <f>ROUND(0,2)</f>
        <v>0</v>
      </c>
      <c r="H1970" s="17">
        <f>ROUND(0,2)</f>
        <v>0</v>
      </c>
      <c r="I1970" s="17">
        <f>ROUND(0,2)</f>
        <v>0</v>
      </c>
      <c r="J1970" s="17"/>
      <c r="K1970" s="17">
        <f>ROUND(0,2)</f>
        <v>0</v>
      </c>
      <c r="L1970" s="17"/>
      <c r="M1970" s="17">
        <f>ROUND(375.23,2)</f>
        <v>375.23</v>
      </c>
      <c r="N1970" s="17">
        <f>ROUND(0.1,2)</f>
        <v>0.1</v>
      </c>
      <c r="O1970" s="17">
        <f t="shared" si="1136"/>
        <v>24342.18</v>
      </c>
      <c r="P1970" s="18">
        <v>45.90626666666667</v>
      </c>
      <c r="Q1970" s="18">
        <v>98.18359342854184</v>
      </c>
    </row>
    <row r="1971" spans="1:17" ht="12.75" customHeight="1">
      <c r="A1971" s="19" t="s">
        <v>1244</v>
      </c>
      <c r="B1971" s="19"/>
      <c r="C1971" s="19"/>
      <c r="D1971" s="19"/>
      <c r="E1971" s="20">
        <f>SUM('DS1'!$A$499)</f>
        <v>45000</v>
      </c>
      <c r="F1971" s="20">
        <v>0</v>
      </c>
      <c r="G1971" s="20">
        <v>45000</v>
      </c>
      <c r="H1971" s="20">
        <v>20657.82</v>
      </c>
      <c r="I1971" s="21">
        <v>20657.82</v>
      </c>
      <c r="J1971" s="21"/>
      <c r="K1971" s="21">
        <v>20657.82</v>
      </c>
      <c r="L1971" s="21"/>
      <c r="M1971" s="20">
        <v>20657.82</v>
      </c>
      <c r="N1971" s="20">
        <v>20282.59</v>
      </c>
      <c r="O1971" s="20">
        <v>24342.18</v>
      </c>
      <c r="P1971" s="22">
        <v>54.09373333333334</v>
      </c>
      <c r="Q1971" s="22">
        <v>45.90626666666667</v>
      </c>
    </row>
    <row r="1972" spans="1:17" ht="12.75" customHeight="1">
      <c r="A1972" s="23"/>
      <c r="B1972" s="24"/>
      <c r="C1972" s="24"/>
      <c r="D1972" s="24"/>
      <c r="E1972" s="23"/>
      <c r="F1972" s="20">
        <v>0</v>
      </c>
      <c r="G1972" s="20">
        <v>0</v>
      </c>
      <c r="H1972" s="20">
        <v>0</v>
      </c>
      <c r="I1972" s="21">
        <v>0</v>
      </c>
      <c r="J1972" s="21"/>
      <c r="K1972" s="21">
        <v>0</v>
      </c>
      <c r="L1972" s="21"/>
      <c r="M1972" s="20">
        <v>375.22999999999956</v>
      </c>
      <c r="N1972" s="20">
        <v>0.1</v>
      </c>
      <c r="O1972" s="20">
        <v>24342.18</v>
      </c>
      <c r="P1972" s="22">
        <v>45.90626666666667</v>
      </c>
      <c r="Q1972" s="22">
        <v>98.18359342854184</v>
      </c>
    </row>
    <row r="1973" spans="1:17" ht="20.25" customHeight="1">
      <c r="A1973" s="23"/>
      <c r="B1973" s="24"/>
      <c r="C1973" s="24"/>
      <c r="D1973" s="24"/>
      <c r="E1973" s="23"/>
      <c r="F1973" s="23"/>
      <c r="G1973" s="23"/>
      <c r="H1973" s="23"/>
      <c r="I1973" s="24"/>
      <c r="J1973" s="24"/>
      <c r="K1973" s="24"/>
      <c r="L1973" s="24"/>
      <c r="M1973" s="23"/>
      <c r="N1973" s="23"/>
      <c r="O1973" s="23"/>
      <c r="P1973" s="23"/>
      <c r="Q1973" s="23"/>
    </row>
    <row r="1974" spans="1:17" ht="12.75" customHeight="1">
      <c r="A1974" s="10"/>
      <c r="B1974" s="11" t="s">
        <v>1245</v>
      </c>
      <c r="C1974" s="11"/>
      <c r="D1974" s="11"/>
      <c r="E1974" s="12">
        <f>ROUND(500,2)</f>
        <v>500</v>
      </c>
      <c r="F1974" s="12">
        <f>ROUND(-323.22,2)</f>
        <v>-323.22</v>
      </c>
      <c r="G1974" s="12">
        <f>ROUND(176.78,2)</f>
        <v>176.78</v>
      </c>
      <c r="H1974" s="12">
        <f aca="true" t="shared" si="1137" ref="H1974:H1975">ROUND(0,2)</f>
        <v>0</v>
      </c>
      <c r="I1974" s="13">
        <f aca="true" t="shared" si="1138" ref="I1974:I1975">ROUND(0,2)</f>
        <v>0</v>
      </c>
      <c r="J1974" s="13"/>
      <c r="K1974" s="13">
        <f aca="true" t="shared" si="1139" ref="K1974:K1975">ROUND(0,2)</f>
        <v>0</v>
      </c>
      <c r="L1974" s="13"/>
      <c r="M1974" s="12">
        <f aca="true" t="shared" si="1140" ref="M1974:M1975">ROUND(0,2)</f>
        <v>0</v>
      </c>
      <c r="N1974" s="12">
        <f aca="true" t="shared" si="1141" ref="N1974:N1975">ROUND(0,2)</f>
        <v>0</v>
      </c>
      <c r="O1974" s="12">
        <f>ROUND(176.78,2)</f>
        <v>176.78</v>
      </c>
      <c r="P1974" s="14">
        <v>100.00000000000003</v>
      </c>
      <c r="Q1974" s="14">
        <v>0</v>
      </c>
    </row>
    <row r="1975" spans="1:17" ht="12.75" customHeight="1">
      <c r="A1975" s="15" t="s">
        <v>1246</v>
      </c>
      <c r="B1975" s="15"/>
      <c r="C1975" s="15"/>
      <c r="D1975" s="15"/>
      <c r="E1975" s="16" t="s">
        <v>1243</v>
      </c>
      <c r="F1975" s="17">
        <f>ROUND(0,2)</f>
        <v>0</v>
      </c>
      <c r="G1975" s="17">
        <f>ROUND(0,2)</f>
        <v>0</v>
      </c>
      <c r="H1975" s="17">
        <f t="shared" si="1137"/>
        <v>0</v>
      </c>
      <c r="I1975" s="17">
        <f t="shared" si="1138"/>
        <v>0</v>
      </c>
      <c r="J1975" s="17"/>
      <c r="K1975" s="17">
        <f t="shared" si="1139"/>
        <v>0</v>
      </c>
      <c r="L1975" s="17"/>
      <c r="M1975" s="17">
        <f t="shared" si="1140"/>
        <v>0</v>
      </c>
      <c r="N1975" s="17">
        <f t="shared" si="1141"/>
        <v>0</v>
      </c>
      <c r="O1975" s="17">
        <f>ROUND(176.78,2)</f>
        <v>176.78</v>
      </c>
      <c r="P1975" s="18">
        <v>0</v>
      </c>
      <c r="Q1975" s="18">
        <v>0</v>
      </c>
    </row>
    <row r="1976" spans="1:17" ht="12.75" customHeight="1">
      <c r="A1976" s="19" t="s">
        <v>1247</v>
      </c>
      <c r="B1976" s="19"/>
      <c r="C1976" s="19"/>
      <c r="D1976" s="19"/>
      <c r="E1976" s="20">
        <f>SUM('DS1'!$A$500)</f>
        <v>500</v>
      </c>
      <c r="F1976" s="20">
        <v>-323.22</v>
      </c>
      <c r="G1976" s="20">
        <v>176.77999999999997</v>
      </c>
      <c r="H1976" s="20">
        <v>0</v>
      </c>
      <c r="I1976" s="21">
        <v>0</v>
      </c>
      <c r="J1976" s="21"/>
      <c r="K1976" s="21">
        <v>0</v>
      </c>
      <c r="L1976" s="21"/>
      <c r="M1976" s="20">
        <v>0</v>
      </c>
      <c r="N1976" s="20">
        <v>0</v>
      </c>
      <c r="O1976" s="20">
        <v>176.78</v>
      </c>
      <c r="P1976" s="22">
        <v>100.00000000000003</v>
      </c>
      <c r="Q1976" s="22">
        <v>0</v>
      </c>
    </row>
    <row r="1977" spans="1:17" ht="12.75" customHeight="1">
      <c r="A1977" s="23"/>
      <c r="B1977" s="24"/>
      <c r="C1977" s="24"/>
      <c r="D1977" s="24"/>
      <c r="E1977" s="23"/>
      <c r="F1977" s="20">
        <v>0</v>
      </c>
      <c r="G1977" s="20">
        <v>0</v>
      </c>
      <c r="H1977" s="20">
        <v>0</v>
      </c>
      <c r="I1977" s="21">
        <v>0</v>
      </c>
      <c r="J1977" s="21"/>
      <c r="K1977" s="21">
        <v>0</v>
      </c>
      <c r="L1977" s="21"/>
      <c r="M1977" s="20">
        <v>0</v>
      </c>
      <c r="N1977" s="20">
        <v>0</v>
      </c>
      <c r="O1977" s="20">
        <v>176.77999999999997</v>
      </c>
      <c r="P1977" s="22">
        <v>0</v>
      </c>
      <c r="Q1977" s="22">
        <v>0</v>
      </c>
    </row>
    <row r="1978" spans="1:17" ht="20.25" customHeight="1">
      <c r="A1978" s="23"/>
      <c r="B1978" s="24"/>
      <c r="C1978" s="24"/>
      <c r="D1978" s="24"/>
      <c r="E1978" s="23"/>
      <c r="F1978" s="23"/>
      <c r="G1978" s="23"/>
      <c r="H1978" s="23"/>
      <c r="I1978" s="24"/>
      <c r="J1978" s="24"/>
      <c r="K1978" s="24"/>
      <c r="L1978" s="24"/>
      <c r="M1978" s="23"/>
      <c r="N1978" s="23"/>
      <c r="O1978" s="23"/>
      <c r="P1978" s="23"/>
      <c r="Q1978" s="23"/>
    </row>
    <row r="1979" spans="1:17" ht="12.75" customHeight="1">
      <c r="A1979" s="10"/>
      <c r="B1979" s="11" t="s">
        <v>1248</v>
      </c>
      <c r="C1979" s="11"/>
      <c r="D1979" s="11"/>
      <c r="E1979" s="12">
        <f>ROUND(8000,2)</f>
        <v>8000</v>
      </c>
      <c r="F1979" s="12">
        <f aca="true" t="shared" si="1142" ref="F1979:F1980">ROUND(0,2)</f>
        <v>0</v>
      </c>
      <c r="G1979" s="12">
        <f>ROUND(8000,2)</f>
        <v>8000</v>
      </c>
      <c r="H1979" s="12">
        <f>ROUND(1222.79,2)</f>
        <v>1222.79</v>
      </c>
      <c r="I1979" s="13">
        <f>ROUND(1222.79,2)</f>
        <v>1222.79</v>
      </c>
      <c r="J1979" s="13"/>
      <c r="K1979" s="13">
        <f>ROUND(1222.79,2)</f>
        <v>1222.79</v>
      </c>
      <c r="L1979" s="13"/>
      <c r="M1979" s="12">
        <f>ROUND(1222.79,2)</f>
        <v>1222.79</v>
      </c>
      <c r="N1979" s="12">
        <f>ROUND(1222.79,2)</f>
        <v>1222.79</v>
      </c>
      <c r="O1979" s="12">
        <f aca="true" t="shared" si="1143" ref="O1979:O1980">ROUND(6777.21,2)</f>
        <v>6777.21</v>
      </c>
      <c r="P1979" s="14">
        <v>84.715125</v>
      </c>
      <c r="Q1979" s="14">
        <v>15.284875000000001</v>
      </c>
    </row>
    <row r="1980" spans="1:17" ht="12.75" customHeight="1">
      <c r="A1980" s="15" t="s">
        <v>1246</v>
      </c>
      <c r="B1980" s="15"/>
      <c r="C1980" s="15"/>
      <c r="D1980" s="15"/>
      <c r="E1980" s="16" t="s">
        <v>1243</v>
      </c>
      <c r="F1980" s="17">
        <f t="shared" si="1142"/>
        <v>0</v>
      </c>
      <c r="G1980" s="17">
        <f>ROUND(0,2)</f>
        <v>0</v>
      </c>
      <c r="H1980" s="17">
        <f>ROUND(0,2)</f>
        <v>0</v>
      </c>
      <c r="I1980" s="17">
        <f>ROUND(0,2)</f>
        <v>0</v>
      </c>
      <c r="J1980" s="17"/>
      <c r="K1980" s="17">
        <f>ROUND(0,2)</f>
        <v>0</v>
      </c>
      <c r="L1980" s="17"/>
      <c r="M1980" s="17">
        <f>ROUND(0,2)</f>
        <v>0</v>
      </c>
      <c r="N1980" s="17">
        <f>ROUND(0,2)</f>
        <v>0</v>
      </c>
      <c r="O1980" s="17">
        <f t="shared" si="1143"/>
        <v>6777.21</v>
      </c>
      <c r="P1980" s="18">
        <v>15.284875000000001</v>
      </c>
      <c r="Q1980" s="18">
        <v>100</v>
      </c>
    </row>
    <row r="1981" spans="1:17" ht="12.75" customHeight="1">
      <c r="A1981" s="19" t="s">
        <v>1249</v>
      </c>
      <c r="B1981" s="19"/>
      <c r="C1981" s="19"/>
      <c r="D1981" s="19"/>
      <c r="E1981" s="20">
        <f>SUM('DS1'!$A$501)</f>
        <v>8000</v>
      </c>
      <c r="F1981" s="20">
        <v>0</v>
      </c>
      <c r="G1981" s="20">
        <v>8000</v>
      </c>
      <c r="H1981" s="20">
        <v>1222.79</v>
      </c>
      <c r="I1981" s="21">
        <v>1222.79</v>
      </c>
      <c r="J1981" s="21"/>
      <c r="K1981" s="21">
        <v>1222.79</v>
      </c>
      <c r="L1981" s="21"/>
      <c r="M1981" s="20">
        <v>1222.79</v>
      </c>
      <c r="N1981" s="20">
        <v>1222.79</v>
      </c>
      <c r="O1981" s="20">
        <v>6777.21</v>
      </c>
      <c r="P1981" s="22">
        <v>84.715125</v>
      </c>
      <c r="Q1981" s="22">
        <v>15.284875000000001</v>
      </c>
    </row>
    <row r="1982" spans="1:17" ht="12.75" customHeight="1">
      <c r="A1982" s="23"/>
      <c r="B1982" s="24"/>
      <c r="C1982" s="24"/>
      <c r="D1982" s="24"/>
      <c r="E1982" s="23"/>
      <c r="F1982" s="20">
        <v>0</v>
      </c>
      <c r="G1982" s="20">
        <v>0</v>
      </c>
      <c r="H1982" s="20">
        <v>0</v>
      </c>
      <c r="I1982" s="21">
        <v>0</v>
      </c>
      <c r="J1982" s="21"/>
      <c r="K1982" s="21">
        <v>0</v>
      </c>
      <c r="L1982" s="21"/>
      <c r="M1982" s="20">
        <v>0</v>
      </c>
      <c r="N1982" s="20">
        <v>0</v>
      </c>
      <c r="O1982" s="20">
        <v>6777.21</v>
      </c>
      <c r="P1982" s="22">
        <v>15.284875000000001</v>
      </c>
      <c r="Q1982" s="22">
        <v>100</v>
      </c>
    </row>
    <row r="1983" spans="1:17" ht="20.25" customHeight="1">
      <c r="A1983" s="23"/>
      <c r="B1983" s="24"/>
      <c r="C1983" s="24"/>
      <c r="D1983" s="24"/>
      <c r="E1983" s="23"/>
      <c r="F1983" s="23"/>
      <c r="G1983" s="23"/>
      <c r="H1983" s="23"/>
      <c r="I1983" s="24"/>
      <c r="J1983" s="24"/>
      <c r="K1983" s="24"/>
      <c r="L1983" s="24"/>
      <c r="M1983" s="23"/>
      <c r="N1983" s="23"/>
      <c r="O1983" s="23"/>
      <c r="P1983" s="23"/>
      <c r="Q1983" s="23"/>
    </row>
    <row r="1984" spans="1:17" ht="12.75" customHeight="1">
      <c r="A1984" s="10"/>
      <c r="B1984" s="11" t="s">
        <v>1250</v>
      </c>
      <c r="C1984" s="11"/>
      <c r="D1984" s="11"/>
      <c r="E1984" s="12">
        <f>ROUND(800000,2)</f>
        <v>800000</v>
      </c>
      <c r="F1984" s="12">
        <f aca="true" t="shared" si="1144" ref="F1984:F1985">ROUND(0,2)</f>
        <v>0</v>
      </c>
      <c r="G1984" s="12">
        <f>ROUND(800000,2)</f>
        <v>800000</v>
      </c>
      <c r="H1984" s="12">
        <f>ROUND(695817.94,2)</f>
        <v>695817.94</v>
      </c>
      <c r="I1984" s="13">
        <f>ROUND(695817.94,2)</f>
        <v>695817.94</v>
      </c>
      <c r="J1984" s="13"/>
      <c r="K1984" s="13">
        <f>ROUND(695817.94,2)</f>
        <v>695817.94</v>
      </c>
      <c r="L1984" s="13"/>
      <c r="M1984" s="12">
        <f>ROUND(695817.94,2)</f>
        <v>695817.94</v>
      </c>
      <c r="N1984" s="12">
        <f>ROUND(695817.94,2)</f>
        <v>695817.94</v>
      </c>
      <c r="O1984" s="12">
        <f>ROUND(104182.06,2)</f>
        <v>104182.06</v>
      </c>
      <c r="P1984" s="14">
        <v>13.022757499999999</v>
      </c>
      <c r="Q1984" s="14">
        <v>86.9772425</v>
      </c>
    </row>
    <row r="1985" spans="1:17" ht="12.75" customHeight="1">
      <c r="A1985" s="15" t="s">
        <v>1251</v>
      </c>
      <c r="B1985" s="15"/>
      <c r="C1985" s="15"/>
      <c r="D1985" s="15"/>
      <c r="E1985" s="16" t="s">
        <v>1252</v>
      </c>
      <c r="F1985" s="17">
        <f t="shared" si="1144"/>
        <v>0</v>
      </c>
      <c r="G1985" s="17">
        <f>ROUND(0,2)</f>
        <v>0</v>
      </c>
      <c r="H1985" s="17">
        <f>ROUND(0,2)</f>
        <v>0</v>
      </c>
      <c r="I1985" s="17">
        <f>ROUND(0,2)</f>
        <v>0</v>
      </c>
      <c r="J1985" s="17"/>
      <c r="K1985" s="17">
        <f>ROUND(0,2)</f>
        <v>0</v>
      </c>
      <c r="L1985" s="17"/>
      <c r="M1985" s="17">
        <f>ROUND(0,2)</f>
        <v>0</v>
      </c>
      <c r="N1985" s="17">
        <f>ROUND(0,2)</f>
        <v>0</v>
      </c>
      <c r="O1985" s="17">
        <f>ROUND(104182.06,2)</f>
        <v>104182.06</v>
      </c>
      <c r="P1985" s="18">
        <v>86.9772425</v>
      </c>
      <c r="Q1985" s="18">
        <v>100</v>
      </c>
    </row>
    <row r="1986" spans="1:17" ht="12.75" customHeight="1">
      <c r="A1986" s="19" t="s">
        <v>139</v>
      </c>
      <c r="B1986" s="19"/>
      <c r="C1986" s="19"/>
      <c r="D1986" s="19"/>
      <c r="E1986" s="20">
        <f>SUM('DS1'!$A$502)</f>
        <v>800000</v>
      </c>
      <c r="F1986" s="20">
        <v>0</v>
      </c>
      <c r="G1986" s="20">
        <v>800000</v>
      </c>
      <c r="H1986" s="20">
        <v>695817.94</v>
      </c>
      <c r="I1986" s="21">
        <v>695817.94</v>
      </c>
      <c r="J1986" s="21"/>
      <c r="K1986" s="21">
        <v>695817.94</v>
      </c>
      <c r="L1986" s="21"/>
      <c r="M1986" s="20">
        <v>695817.94</v>
      </c>
      <c r="N1986" s="20">
        <v>695817.94</v>
      </c>
      <c r="O1986" s="20">
        <v>104182.06</v>
      </c>
      <c r="P1986" s="22">
        <v>13.022757499999999</v>
      </c>
      <c r="Q1986" s="22">
        <v>86.9772425</v>
      </c>
    </row>
    <row r="1987" spans="1:17" ht="12.75" customHeight="1">
      <c r="A1987" s="23"/>
      <c r="B1987" s="24"/>
      <c r="C1987" s="24"/>
      <c r="D1987" s="24"/>
      <c r="E1987" s="23"/>
      <c r="F1987" s="20">
        <v>0</v>
      </c>
      <c r="G1987" s="20">
        <v>0</v>
      </c>
      <c r="H1987" s="20">
        <v>0</v>
      </c>
      <c r="I1987" s="21">
        <v>0</v>
      </c>
      <c r="J1987" s="21"/>
      <c r="K1987" s="21">
        <v>0</v>
      </c>
      <c r="L1987" s="21"/>
      <c r="M1987" s="20">
        <v>0</v>
      </c>
      <c r="N1987" s="20">
        <v>0</v>
      </c>
      <c r="O1987" s="20">
        <v>104182.06000000006</v>
      </c>
      <c r="P1987" s="22">
        <v>86.9772425</v>
      </c>
      <c r="Q1987" s="22">
        <v>100</v>
      </c>
    </row>
    <row r="1988" spans="1:17" ht="20.25" customHeight="1">
      <c r="A1988" s="23"/>
      <c r="B1988" s="24"/>
      <c r="C1988" s="24"/>
      <c r="D1988" s="24"/>
      <c r="E1988" s="23"/>
      <c r="F1988" s="23"/>
      <c r="G1988" s="23"/>
      <c r="H1988" s="23"/>
      <c r="I1988" s="24"/>
      <c r="J1988" s="24"/>
      <c r="K1988" s="24"/>
      <c r="L1988" s="24"/>
      <c r="M1988" s="23"/>
      <c r="N1988" s="23"/>
      <c r="O1988" s="23"/>
      <c r="P1988" s="23"/>
      <c r="Q1988" s="23"/>
    </row>
    <row r="1989" spans="1:17" ht="12.75" customHeight="1">
      <c r="A1989" s="19" t="s">
        <v>1253</v>
      </c>
      <c r="B1989" s="19"/>
      <c r="C1989" s="19"/>
      <c r="D1989" s="19"/>
      <c r="E1989" s="20">
        <f>SUM('DS1'!$A$485:$A$502)</f>
        <v>1793984.46</v>
      </c>
      <c r="F1989" s="20">
        <v>7438.68</v>
      </c>
      <c r="G1989" s="20">
        <v>1801423.14</v>
      </c>
      <c r="H1989" s="20">
        <v>1438416.09</v>
      </c>
      <c r="I1989" s="21">
        <v>1438416.09</v>
      </c>
      <c r="J1989" s="21"/>
      <c r="K1989" s="21">
        <v>1438416.09</v>
      </c>
      <c r="L1989" s="21"/>
      <c r="M1989" s="20">
        <v>1438416.09</v>
      </c>
      <c r="N1989" s="20">
        <v>1435900.86</v>
      </c>
      <c r="O1989" s="20">
        <v>363007.05</v>
      </c>
      <c r="P1989" s="22">
        <v>20.151126181270214</v>
      </c>
      <c r="Q1989" s="22">
        <v>79.8488738187298</v>
      </c>
    </row>
    <row r="1990" spans="1:17" ht="12.75" customHeight="1">
      <c r="A1990" s="23"/>
      <c r="B1990" s="24"/>
      <c r="C1990" s="24"/>
      <c r="D1990" s="24"/>
      <c r="E1990" s="23"/>
      <c r="F1990" s="20">
        <v>0</v>
      </c>
      <c r="G1990" s="20">
        <v>0</v>
      </c>
      <c r="H1990" s="20">
        <v>0</v>
      </c>
      <c r="I1990" s="21">
        <v>0</v>
      </c>
      <c r="J1990" s="21"/>
      <c r="K1990" s="21">
        <v>0</v>
      </c>
      <c r="L1990" s="21"/>
      <c r="M1990" s="20">
        <v>2515.2299999999996</v>
      </c>
      <c r="N1990" s="20">
        <v>0.1</v>
      </c>
      <c r="O1990" s="20">
        <v>363007.05</v>
      </c>
      <c r="P1990" s="22">
        <v>79.8488738187298</v>
      </c>
      <c r="Q1990" s="22">
        <v>99.82513891373392</v>
      </c>
    </row>
    <row r="1991" spans="1:17" ht="18" customHeight="1">
      <c r="A1991" s="23"/>
      <c r="B1991" s="24"/>
      <c r="C1991" s="24"/>
      <c r="D1991" s="24"/>
      <c r="E1991" s="23"/>
      <c r="F1991" s="23"/>
      <c r="G1991" s="23"/>
      <c r="H1991" s="23"/>
      <c r="I1991" s="24"/>
      <c r="J1991" s="24"/>
      <c r="K1991" s="24"/>
      <c r="L1991" s="24"/>
      <c r="M1991" s="23"/>
      <c r="N1991" s="23"/>
      <c r="O1991" s="23"/>
      <c r="P1991" s="23"/>
      <c r="Q1991" s="23"/>
    </row>
    <row r="1992" spans="1:17" ht="12.75" customHeight="1">
      <c r="A1992" s="10"/>
      <c r="B1992" s="11" t="s">
        <v>1254</v>
      </c>
      <c r="C1992" s="11"/>
      <c r="D1992" s="11"/>
      <c r="E1992" s="12">
        <f>ROUND(20000,2)</f>
        <v>20000</v>
      </c>
      <c r="F1992" s="12">
        <f aca="true" t="shared" si="1145" ref="F1992:F1993">ROUND(0,2)</f>
        <v>0</v>
      </c>
      <c r="G1992" s="12">
        <f>ROUND(20000,2)</f>
        <v>20000</v>
      </c>
      <c r="H1992" s="12">
        <f>ROUND(185.79,2)</f>
        <v>185.79</v>
      </c>
      <c r="I1992" s="13">
        <f>ROUND(185.79,2)</f>
        <v>185.79</v>
      </c>
      <c r="J1992" s="13"/>
      <c r="K1992" s="13">
        <f>ROUND(185.79,2)</f>
        <v>185.79</v>
      </c>
      <c r="L1992" s="13"/>
      <c r="M1992" s="12">
        <f>ROUND(185.79,2)</f>
        <v>185.79</v>
      </c>
      <c r="N1992" s="12">
        <f>ROUND(185.79,2)</f>
        <v>185.79</v>
      </c>
      <c r="O1992" s="12">
        <f aca="true" t="shared" si="1146" ref="O1992:O1993">ROUND(19814.21,2)</f>
        <v>19814.21</v>
      </c>
      <c r="P1992" s="14">
        <v>99.07105</v>
      </c>
      <c r="Q1992" s="14">
        <v>0.9289499999999999</v>
      </c>
    </row>
    <row r="1993" spans="1:17" ht="12.75" customHeight="1">
      <c r="A1993" s="15" t="s">
        <v>1255</v>
      </c>
      <c r="B1993" s="15"/>
      <c r="C1993" s="15"/>
      <c r="D1993" s="15"/>
      <c r="E1993" s="16" t="s">
        <v>1256</v>
      </c>
      <c r="F1993" s="17">
        <f t="shared" si="1145"/>
        <v>0</v>
      </c>
      <c r="G1993" s="17">
        <f>ROUND(0,2)</f>
        <v>0</v>
      </c>
      <c r="H1993" s="17">
        <f>ROUND(0,2)</f>
        <v>0</v>
      </c>
      <c r="I1993" s="17">
        <f>ROUND(0,2)</f>
        <v>0</v>
      </c>
      <c r="J1993" s="17"/>
      <c r="K1993" s="17">
        <f>ROUND(0,2)</f>
        <v>0</v>
      </c>
      <c r="L1993" s="17"/>
      <c r="M1993" s="17">
        <f>ROUND(0,2)</f>
        <v>0</v>
      </c>
      <c r="N1993" s="17">
        <f>ROUND(0,2)</f>
        <v>0</v>
      </c>
      <c r="O1993" s="17">
        <f t="shared" si="1146"/>
        <v>19814.21</v>
      </c>
      <c r="P1993" s="18">
        <v>0.9289499999999999</v>
      </c>
      <c r="Q1993" s="18">
        <v>100</v>
      </c>
    </row>
    <row r="1994" spans="1:17" ht="12.75" customHeight="1">
      <c r="A1994" s="19" t="s">
        <v>76</v>
      </c>
      <c r="B1994" s="19"/>
      <c r="C1994" s="19"/>
      <c r="D1994" s="19"/>
      <c r="E1994" s="20">
        <f>SUM('DS1'!$A$503)</f>
        <v>20000</v>
      </c>
      <c r="F1994" s="20">
        <v>0</v>
      </c>
      <c r="G1994" s="20">
        <v>20000</v>
      </c>
      <c r="H1994" s="20">
        <v>185.79</v>
      </c>
      <c r="I1994" s="21">
        <v>185.79</v>
      </c>
      <c r="J1994" s="21"/>
      <c r="K1994" s="21">
        <v>185.79</v>
      </c>
      <c r="L1994" s="21"/>
      <c r="M1994" s="20">
        <v>185.79</v>
      </c>
      <c r="N1994" s="20">
        <v>185.79</v>
      </c>
      <c r="O1994" s="20">
        <v>19814.21</v>
      </c>
      <c r="P1994" s="22">
        <v>99.07105</v>
      </c>
      <c r="Q1994" s="22">
        <v>0.9289499999999999</v>
      </c>
    </row>
    <row r="1995" spans="1:17" ht="12.75" customHeight="1">
      <c r="A1995" s="23"/>
      <c r="B1995" s="24"/>
      <c r="C1995" s="24"/>
      <c r="D1995" s="24"/>
      <c r="E1995" s="23"/>
      <c r="F1995" s="20">
        <v>0</v>
      </c>
      <c r="G1995" s="20">
        <v>0</v>
      </c>
      <c r="H1995" s="20">
        <v>0</v>
      </c>
      <c r="I1995" s="21">
        <v>0</v>
      </c>
      <c r="J1995" s="21"/>
      <c r="K1995" s="21">
        <v>0</v>
      </c>
      <c r="L1995" s="21"/>
      <c r="M1995" s="20">
        <v>0</v>
      </c>
      <c r="N1995" s="20">
        <v>0</v>
      </c>
      <c r="O1995" s="20">
        <v>19814.21</v>
      </c>
      <c r="P1995" s="22">
        <v>0.9289499999999999</v>
      </c>
      <c r="Q1995" s="22">
        <v>100</v>
      </c>
    </row>
    <row r="1996" spans="1:17" ht="20.25" customHeight="1">
      <c r="A1996" s="23"/>
      <c r="B1996" s="24"/>
      <c r="C1996" s="24"/>
      <c r="D1996" s="24"/>
      <c r="E1996" s="23"/>
      <c r="F1996" s="23"/>
      <c r="G1996" s="23"/>
      <c r="H1996" s="23"/>
      <c r="I1996" s="24"/>
      <c r="J1996" s="24"/>
      <c r="K1996" s="24"/>
      <c r="L1996" s="24"/>
      <c r="M1996" s="23"/>
      <c r="N1996" s="23"/>
      <c r="O1996" s="23"/>
      <c r="P1996" s="23"/>
      <c r="Q1996" s="23"/>
    </row>
    <row r="1997" spans="1:17" ht="12.75" customHeight="1">
      <c r="A1997" s="10"/>
      <c r="B1997" s="11" t="s">
        <v>1257</v>
      </c>
      <c r="C1997" s="11"/>
      <c r="D1997" s="11"/>
      <c r="E1997" s="12">
        <f>ROUND(1500,2)</f>
        <v>1500</v>
      </c>
      <c r="F1997" s="12">
        <f aca="true" t="shared" si="1147" ref="F1997:F1998">ROUND(0,2)</f>
        <v>0</v>
      </c>
      <c r="G1997" s="12">
        <f>ROUND(1500,2)</f>
        <v>1500</v>
      </c>
      <c r="H1997" s="12">
        <f aca="true" t="shared" si="1148" ref="H1997:H1998">ROUND(0,2)</f>
        <v>0</v>
      </c>
      <c r="I1997" s="13">
        <f aca="true" t="shared" si="1149" ref="I1997:I1998">ROUND(0,2)</f>
        <v>0</v>
      </c>
      <c r="J1997" s="13"/>
      <c r="K1997" s="13">
        <f aca="true" t="shared" si="1150" ref="K1997:K1998">ROUND(0,2)</f>
        <v>0</v>
      </c>
      <c r="L1997" s="13"/>
      <c r="M1997" s="12">
        <f aca="true" t="shared" si="1151" ref="M1997:M1998">ROUND(0,2)</f>
        <v>0</v>
      </c>
      <c r="N1997" s="12">
        <f aca="true" t="shared" si="1152" ref="N1997:N1998">ROUND(0,2)</f>
        <v>0</v>
      </c>
      <c r="O1997" s="12">
        <f aca="true" t="shared" si="1153" ref="O1997:O1998">ROUND(1500,2)</f>
        <v>1500</v>
      </c>
      <c r="P1997" s="14">
        <v>100</v>
      </c>
      <c r="Q1997" s="14">
        <v>0</v>
      </c>
    </row>
    <row r="1998" spans="1:17" ht="12.75" customHeight="1">
      <c r="A1998" s="15" t="s">
        <v>1258</v>
      </c>
      <c r="B1998" s="15"/>
      <c r="C1998" s="15"/>
      <c r="D1998" s="15"/>
      <c r="E1998" s="16" t="s">
        <v>1238</v>
      </c>
      <c r="F1998" s="17">
        <f t="shared" si="1147"/>
        <v>0</v>
      </c>
      <c r="G1998" s="17">
        <f>ROUND(0,2)</f>
        <v>0</v>
      </c>
      <c r="H1998" s="17">
        <f t="shared" si="1148"/>
        <v>0</v>
      </c>
      <c r="I1998" s="17">
        <f t="shared" si="1149"/>
        <v>0</v>
      </c>
      <c r="J1998" s="17"/>
      <c r="K1998" s="17">
        <f t="shared" si="1150"/>
        <v>0</v>
      </c>
      <c r="L1998" s="17"/>
      <c r="M1998" s="17">
        <f t="shared" si="1151"/>
        <v>0</v>
      </c>
      <c r="N1998" s="17">
        <f t="shared" si="1152"/>
        <v>0</v>
      </c>
      <c r="O1998" s="17">
        <f t="shared" si="1153"/>
        <v>1500</v>
      </c>
      <c r="P1998" s="18">
        <v>0</v>
      </c>
      <c r="Q1998" s="18">
        <v>0</v>
      </c>
    </row>
    <row r="1999" spans="1:17" ht="12.75" customHeight="1">
      <c r="A1999" s="19" t="s">
        <v>92</v>
      </c>
      <c r="B1999" s="19"/>
      <c r="C1999" s="19"/>
      <c r="D1999" s="19"/>
      <c r="E1999" s="20">
        <f>SUM('DS1'!$A$504)</f>
        <v>1500</v>
      </c>
      <c r="F1999" s="20">
        <v>0</v>
      </c>
      <c r="G1999" s="20">
        <v>1500</v>
      </c>
      <c r="H1999" s="20">
        <v>0</v>
      </c>
      <c r="I1999" s="21">
        <v>0</v>
      </c>
      <c r="J1999" s="21"/>
      <c r="K1999" s="21">
        <v>0</v>
      </c>
      <c r="L1999" s="21"/>
      <c r="M1999" s="20">
        <v>0</v>
      </c>
      <c r="N1999" s="20">
        <v>0</v>
      </c>
      <c r="O1999" s="20">
        <v>1500</v>
      </c>
      <c r="P1999" s="22">
        <v>100</v>
      </c>
      <c r="Q1999" s="22">
        <v>0</v>
      </c>
    </row>
    <row r="2000" spans="1:17" ht="12.75" customHeight="1">
      <c r="A2000" s="23"/>
      <c r="B2000" s="24"/>
      <c r="C2000" s="24"/>
      <c r="D2000" s="24"/>
      <c r="E2000" s="23"/>
      <c r="F2000" s="20">
        <v>0</v>
      </c>
      <c r="G2000" s="20">
        <v>0</v>
      </c>
      <c r="H2000" s="20">
        <v>0</v>
      </c>
      <c r="I2000" s="21">
        <v>0</v>
      </c>
      <c r="J2000" s="21"/>
      <c r="K2000" s="21">
        <v>0</v>
      </c>
      <c r="L2000" s="21"/>
      <c r="M2000" s="20">
        <v>0</v>
      </c>
      <c r="N2000" s="20">
        <v>0</v>
      </c>
      <c r="O2000" s="20">
        <v>1500</v>
      </c>
      <c r="P2000" s="22">
        <v>0</v>
      </c>
      <c r="Q2000" s="22">
        <v>0</v>
      </c>
    </row>
    <row r="2001" spans="1:17" ht="20.25" customHeight="1">
      <c r="A2001" s="23"/>
      <c r="B2001" s="24"/>
      <c r="C2001" s="24"/>
      <c r="D2001" s="24"/>
      <c r="E2001" s="23"/>
      <c r="F2001" s="23"/>
      <c r="G2001" s="23"/>
      <c r="H2001" s="23"/>
      <c r="I2001" s="24"/>
      <c r="J2001" s="24"/>
      <c r="K2001" s="24"/>
      <c r="L2001" s="24"/>
      <c r="M2001" s="23"/>
      <c r="N2001" s="23"/>
      <c r="O2001" s="23"/>
      <c r="P2001" s="23"/>
      <c r="Q2001" s="23"/>
    </row>
    <row r="2002" spans="1:17" ht="12.75" customHeight="1">
      <c r="A2002" s="10"/>
      <c r="B2002" s="11" t="s">
        <v>1259</v>
      </c>
      <c r="C2002" s="11"/>
      <c r="D2002" s="11"/>
      <c r="E2002" s="12">
        <f>ROUND(170000,2)</f>
        <v>170000</v>
      </c>
      <c r="F2002" s="12">
        <f aca="true" t="shared" si="1154" ref="F2002:F2003">ROUND(0,2)</f>
        <v>0</v>
      </c>
      <c r="G2002" s="12">
        <f>ROUND(170000,2)</f>
        <v>170000</v>
      </c>
      <c r="H2002" s="12">
        <f>ROUND(5323.55,2)</f>
        <v>5323.55</v>
      </c>
      <c r="I2002" s="13">
        <f>ROUND(5323.55,2)</f>
        <v>5323.55</v>
      </c>
      <c r="J2002" s="13"/>
      <c r="K2002" s="13">
        <f>ROUND(90.95,2)</f>
        <v>90.95</v>
      </c>
      <c r="L2002" s="13"/>
      <c r="M2002" s="12">
        <f>ROUND(90.95,2)</f>
        <v>90.95</v>
      </c>
      <c r="N2002" s="12">
        <f>ROUND(90.95,2)</f>
        <v>90.95</v>
      </c>
      <c r="O2002" s="12">
        <f>ROUND(164676.45,2)</f>
        <v>164676.45</v>
      </c>
      <c r="P2002" s="14">
        <v>96.8685</v>
      </c>
      <c r="Q2002" s="14">
        <v>0.0535</v>
      </c>
    </row>
    <row r="2003" spans="1:17" ht="12.75" customHeight="1">
      <c r="A2003" s="15" t="s">
        <v>1260</v>
      </c>
      <c r="B2003" s="15"/>
      <c r="C2003" s="15"/>
      <c r="D2003" s="15"/>
      <c r="E2003" s="16" t="s">
        <v>1238</v>
      </c>
      <c r="F2003" s="17">
        <f t="shared" si="1154"/>
        <v>0</v>
      </c>
      <c r="G2003" s="17">
        <f>ROUND(0,2)</f>
        <v>0</v>
      </c>
      <c r="H2003" s="17">
        <f>ROUND(0,2)</f>
        <v>0</v>
      </c>
      <c r="I2003" s="17">
        <f>ROUND(5232.6,2)</f>
        <v>5232.6</v>
      </c>
      <c r="J2003" s="17"/>
      <c r="K2003" s="17">
        <f>ROUND(0,2)</f>
        <v>0</v>
      </c>
      <c r="L2003" s="17"/>
      <c r="M2003" s="17">
        <f>ROUND(0,2)</f>
        <v>0</v>
      </c>
      <c r="N2003" s="17">
        <f>ROUND(0,2)</f>
        <v>0</v>
      </c>
      <c r="O2003" s="17">
        <f>ROUND(169909.05,2)</f>
        <v>169909.05</v>
      </c>
      <c r="P2003" s="18">
        <v>3.1315000000000004</v>
      </c>
      <c r="Q2003" s="18">
        <v>100</v>
      </c>
    </row>
    <row r="2004" spans="1:17" ht="12.75" customHeight="1">
      <c r="A2004" s="19" t="s">
        <v>37</v>
      </c>
      <c r="B2004" s="19"/>
      <c r="C2004" s="19"/>
      <c r="D2004" s="19"/>
      <c r="E2004" s="20">
        <f>SUM('DS1'!$A$505)</f>
        <v>170000</v>
      </c>
      <c r="F2004" s="20">
        <v>0</v>
      </c>
      <c r="G2004" s="20">
        <v>170000</v>
      </c>
      <c r="H2004" s="20">
        <v>5323.55</v>
      </c>
      <c r="I2004" s="21">
        <v>5323.55</v>
      </c>
      <c r="J2004" s="21"/>
      <c r="K2004" s="21">
        <v>90.95</v>
      </c>
      <c r="L2004" s="21"/>
      <c r="M2004" s="20">
        <v>90.95</v>
      </c>
      <c r="N2004" s="20">
        <v>90.95</v>
      </c>
      <c r="O2004" s="20">
        <v>164676.45</v>
      </c>
      <c r="P2004" s="22">
        <v>96.8685</v>
      </c>
      <c r="Q2004" s="22">
        <v>0.0535</v>
      </c>
    </row>
    <row r="2005" spans="1:17" ht="12.75" customHeight="1">
      <c r="A2005" s="23"/>
      <c r="B2005" s="24"/>
      <c r="C2005" s="24"/>
      <c r="D2005" s="24"/>
      <c r="E2005" s="23"/>
      <c r="F2005" s="20">
        <v>0</v>
      </c>
      <c r="G2005" s="20">
        <v>0</v>
      </c>
      <c r="H2005" s="20">
        <v>0</v>
      </c>
      <c r="I2005" s="21">
        <v>5232.6</v>
      </c>
      <c r="J2005" s="21"/>
      <c r="K2005" s="21">
        <v>0</v>
      </c>
      <c r="L2005" s="21"/>
      <c r="M2005" s="20">
        <v>0</v>
      </c>
      <c r="N2005" s="20">
        <v>0</v>
      </c>
      <c r="O2005" s="20">
        <v>169909.05</v>
      </c>
      <c r="P2005" s="22">
        <v>3.1315000000000004</v>
      </c>
      <c r="Q2005" s="22">
        <v>100</v>
      </c>
    </row>
    <row r="2006" spans="1:17" ht="20.25" customHeight="1">
      <c r="A2006" s="23"/>
      <c r="B2006" s="24"/>
      <c r="C2006" s="24"/>
      <c r="D2006" s="24"/>
      <c r="E2006" s="23"/>
      <c r="F2006" s="23"/>
      <c r="G2006" s="23"/>
      <c r="H2006" s="23"/>
      <c r="I2006" s="24"/>
      <c r="J2006" s="24"/>
      <c r="K2006" s="24"/>
      <c r="L2006" s="24"/>
      <c r="M2006" s="23"/>
      <c r="N2006" s="23"/>
      <c r="O2006" s="23"/>
      <c r="P2006" s="23"/>
      <c r="Q2006" s="23"/>
    </row>
    <row r="2007" spans="1:17" ht="12.75" customHeight="1">
      <c r="A2007" s="10"/>
      <c r="B2007" s="11" t="s">
        <v>1261</v>
      </c>
      <c r="C2007" s="11"/>
      <c r="D2007" s="11"/>
      <c r="E2007" s="12">
        <f>ROUND(99479.75,2)</f>
        <v>99479.75</v>
      </c>
      <c r="F2007" s="12">
        <f aca="true" t="shared" si="1155" ref="F2007:F2008">ROUND(0,2)</f>
        <v>0</v>
      </c>
      <c r="G2007" s="12">
        <f>ROUND(99479.75,2)</f>
        <v>99479.75</v>
      </c>
      <c r="H2007" s="12">
        <f aca="true" t="shared" si="1156" ref="H2007:H2008">ROUND(0,2)</f>
        <v>0</v>
      </c>
      <c r="I2007" s="13">
        <f aca="true" t="shared" si="1157" ref="I2007:I2008">ROUND(0,2)</f>
        <v>0</v>
      </c>
      <c r="J2007" s="13"/>
      <c r="K2007" s="13">
        <f aca="true" t="shared" si="1158" ref="K2007:K2008">ROUND(0,2)</f>
        <v>0</v>
      </c>
      <c r="L2007" s="13"/>
      <c r="M2007" s="12">
        <f aca="true" t="shared" si="1159" ref="M2007:M2008">ROUND(0,2)</f>
        <v>0</v>
      </c>
      <c r="N2007" s="12">
        <f aca="true" t="shared" si="1160" ref="N2007:N2008">ROUND(0,2)</f>
        <v>0</v>
      </c>
      <c r="O2007" s="12">
        <f aca="true" t="shared" si="1161" ref="O2007:O2008">ROUND(99479.75,2)</f>
        <v>99479.75</v>
      </c>
      <c r="P2007" s="14">
        <v>100</v>
      </c>
      <c r="Q2007" s="14">
        <v>0</v>
      </c>
    </row>
    <row r="2008" spans="1:17" ht="12.75" customHeight="1">
      <c r="A2008" s="15" t="s">
        <v>1262</v>
      </c>
      <c r="B2008" s="15"/>
      <c r="C2008" s="15"/>
      <c r="D2008" s="15"/>
      <c r="E2008" s="16" t="s">
        <v>1263</v>
      </c>
      <c r="F2008" s="17">
        <f t="shared" si="1155"/>
        <v>0</v>
      </c>
      <c r="G2008" s="17">
        <f>ROUND(0,2)</f>
        <v>0</v>
      </c>
      <c r="H2008" s="17">
        <f t="shared" si="1156"/>
        <v>0</v>
      </c>
      <c r="I2008" s="17">
        <f t="shared" si="1157"/>
        <v>0</v>
      </c>
      <c r="J2008" s="17"/>
      <c r="K2008" s="17">
        <f t="shared" si="1158"/>
        <v>0</v>
      </c>
      <c r="L2008" s="17"/>
      <c r="M2008" s="17">
        <f t="shared" si="1159"/>
        <v>0</v>
      </c>
      <c r="N2008" s="17">
        <f t="shared" si="1160"/>
        <v>0</v>
      </c>
      <c r="O2008" s="17">
        <f t="shared" si="1161"/>
        <v>99479.75</v>
      </c>
      <c r="P2008" s="18">
        <v>0</v>
      </c>
      <c r="Q2008" s="18">
        <v>0</v>
      </c>
    </row>
    <row r="2009" spans="1:17" ht="12.75" customHeight="1">
      <c r="A2009" s="19" t="s">
        <v>210</v>
      </c>
      <c r="B2009" s="19"/>
      <c r="C2009" s="19"/>
      <c r="D2009" s="19"/>
      <c r="E2009" s="20">
        <f>SUM('DS1'!$A$506)</f>
        <v>99479.75</v>
      </c>
      <c r="F2009" s="20">
        <v>0</v>
      </c>
      <c r="G2009" s="20">
        <v>99479.75</v>
      </c>
      <c r="H2009" s="20">
        <v>0</v>
      </c>
      <c r="I2009" s="21">
        <v>0</v>
      </c>
      <c r="J2009" s="21"/>
      <c r="K2009" s="21">
        <v>0</v>
      </c>
      <c r="L2009" s="21"/>
      <c r="M2009" s="20">
        <v>0</v>
      </c>
      <c r="N2009" s="20">
        <v>0</v>
      </c>
      <c r="O2009" s="20">
        <v>99479.75</v>
      </c>
      <c r="P2009" s="22">
        <v>100</v>
      </c>
      <c r="Q2009" s="22">
        <v>0</v>
      </c>
    </row>
    <row r="2010" spans="1:17" ht="12.75" customHeight="1">
      <c r="A2010" s="23"/>
      <c r="B2010" s="24"/>
      <c r="C2010" s="24"/>
      <c r="D2010" s="24"/>
      <c r="E2010" s="23"/>
      <c r="F2010" s="20">
        <v>0</v>
      </c>
      <c r="G2010" s="20">
        <v>0</v>
      </c>
      <c r="H2010" s="20">
        <v>0</v>
      </c>
      <c r="I2010" s="21">
        <v>0</v>
      </c>
      <c r="J2010" s="21"/>
      <c r="K2010" s="21">
        <v>0</v>
      </c>
      <c r="L2010" s="21"/>
      <c r="M2010" s="20">
        <v>0</v>
      </c>
      <c r="N2010" s="20">
        <v>0</v>
      </c>
      <c r="O2010" s="20">
        <v>99479.75</v>
      </c>
      <c r="P2010" s="22">
        <v>0</v>
      </c>
      <c r="Q2010" s="22">
        <v>0</v>
      </c>
    </row>
    <row r="2011" spans="1:17" ht="20.25" customHeight="1">
      <c r="A2011" s="23"/>
      <c r="B2011" s="24"/>
      <c r="C2011" s="24"/>
      <c r="D2011" s="24"/>
      <c r="E2011" s="23"/>
      <c r="F2011" s="23"/>
      <c r="G2011" s="23"/>
      <c r="H2011" s="23"/>
      <c r="I2011" s="24"/>
      <c r="J2011" s="24"/>
      <c r="K2011" s="24"/>
      <c r="L2011" s="24"/>
      <c r="M2011" s="23"/>
      <c r="N2011" s="23"/>
      <c r="O2011" s="23"/>
      <c r="P2011" s="23"/>
      <c r="Q2011" s="23"/>
    </row>
    <row r="2012" spans="1:17" ht="12.75" customHeight="1">
      <c r="A2012" s="10" t="s">
        <v>83</v>
      </c>
      <c r="B2012" s="11" t="s">
        <v>1264</v>
      </c>
      <c r="C2012" s="11"/>
      <c r="D2012" s="11"/>
      <c r="E2012" s="12">
        <f>ROUND(0,2)</f>
        <v>0</v>
      </c>
      <c r="F2012" s="12">
        <f aca="true" t="shared" si="1162" ref="F2012:F2013">ROUND(9990.29,2)</f>
        <v>9990.29</v>
      </c>
      <c r="G2012" s="12">
        <f>ROUND(9990.29,2)</f>
        <v>9990.29</v>
      </c>
      <c r="H2012" s="12">
        <f>ROUND(9990.29,2)</f>
        <v>9990.29</v>
      </c>
      <c r="I2012" s="13">
        <f>ROUND(9990.29,2)</f>
        <v>9990.29</v>
      </c>
      <c r="J2012" s="13"/>
      <c r="K2012" s="13">
        <f>ROUND(9990.29,2)</f>
        <v>9990.29</v>
      </c>
      <c r="L2012" s="13"/>
      <c r="M2012" s="12">
        <f>ROUND(9990.29,2)</f>
        <v>9990.29</v>
      </c>
      <c r="N2012" s="12">
        <f>ROUND(9990.29,2)</f>
        <v>9990.29</v>
      </c>
      <c r="O2012" s="12">
        <f aca="true" t="shared" si="1163" ref="O2012:O2013">ROUND(0,2)</f>
        <v>0</v>
      </c>
      <c r="P2012" s="14">
        <v>0</v>
      </c>
      <c r="Q2012" s="14">
        <v>100</v>
      </c>
    </row>
    <row r="2013" spans="1:17" ht="12.75" customHeight="1">
      <c r="A2013" s="15" t="s">
        <v>1265</v>
      </c>
      <c r="B2013" s="15"/>
      <c r="C2013" s="15"/>
      <c r="D2013" s="15"/>
      <c r="E2013" s="16" t="s">
        <v>1266</v>
      </c>
      <c r="F2013" s="17">
        <f t="shared" si="1162"/>
        <v>9990.29</v>
      </c>
      <c r="G2013" s="17">
        <f>ROUND(0,2)</f>
        <v>0</v>
      </c>
      <c r="H2013" s="17">
        <f>ROUND(0,2)</f>
        <v>0</v>
      </c>
      <c r="I2013" s="17">
        <f>ROUND(0,2)</f>
        <v>0</v>
      </c>
      <c r="J2013" s="17"/>
      <c r="K2013" s="17">
        <f>ROUND(0,2)</f>
        <v>0</v>
      </c>
      <c r="L2013" s="17"/>
      <c r="M2013" s="17">
        <f>ROUND(0,2)</f>
        <v>0</v>
      </c>
      <c r="N2013" s="17">
        <f>ROUND(0,2)</f>
        <v>0</v>
      </c>
      <c r="O2013" s="17">
        <f t="shared" si="1163"/>
        <v>0</v>
      </c>
      <c r="P2013" s="18">
        <v>100</v>
      </c>
      <c r="Q2013" s="18">
        <v>100</v>
      </c>
    </row>
    <row r="2014" spans="1:17" ht="12.75" customHeight="1">
      <c r="A2014" s="19" t="s">
        <v>106</v>
      </c>
      <c r="B2014" s="19"/>
      <c r="C2014" s="19"/>
      <c r="D2014" s="19"/>
      <c r="E2014" s="20">
        <f>SUM('DS1'!$A$507)</f>
        <v>0</v>
      </c>
      <c r="F2014" s="20">
        <v>9990.29</v>
      </c>
      <c r="G2014" s="20">
        <v>9990.29</v>
      </c>
      <c r="H2014" s="20">
        <v>9990.29</v>
      </c>
      <c r="I2014" s="21">
        <v>9990.29</v>
      </c>
      <c r="J2014" s="21"/>
      <c r="K2014" s="21">
        <v>9990.29</v>
      </c>
      <c r="L2014" s="21"/>
      <c r="M2014" s="20">
        <v>9990.29</v>
      </c>
      <c r="N2014" s="20">
        <v>9990.29</v>
      </c>
      <c r="O2014" s="20">
        <v>0</v>
      </c>
      <c r="P2014" s="22">
        <v>0</v>
      </c>
      <c r="Q2014" s="22">
        <v>100</v>
      </c>
    </row>
    <row r="2015" spans="1:17" ht="12.75" customHeight="1">
      <c r="A2015" s="23"/>
      <c r="B2015" s="24"/>
      <c r="C2015" s="24"/>
      <c r="D2015" s="24"/>
      <c r="E2015" s="23"/>
      <c r="F2015" s="20">
        <v>9990.29</v>
      </c>
      <c r="G2015" s="20">
        <v>0</v>
      </c>
      <c r="H2015" s="20">
        <v>0</v>
      </c>
      <c r="I2015" s="21">
        <v>0</v>
      </c>
      <c r="J2015" s="21"/>
      <c r="K2015" s="21">
        <v>0</v>
      </c>
      <c r="L2015" s="21"/>
      <c r="M2015" s="20">
        <v>0</v>
      </c>
      <c r="N2015" s="20">
        <v>0</v>
      </c>
      <c r="O2015" s="20">
        <v>0</v>
      </c>
      <c r="P2015" s="22">
        <v>100</v>
      </c>
      <c r="Q2015" s="22">
        <v>100</v>
      </c>
    </row>
    <row r="2016" spans="1:17" ht="20.25" customHeight="1">
      <c r="A2016" s="23"/>
      <c r="B2016" s="24"/>
      <c r="C2016" s="24"/>
      <c r="D2016" s="24"/>
      <c r="E2016" s="23"/>
      <c r="F2016" s="23"/>
      <c r="G2016" s="23"/>
      <c r="H2016" s="23"/>
      <c r="I2016" s="24"/>
      <c r="J2016" s="24"/>
      <c r="K2016" s="24"/>
      <c r="L2016" s="24"/>
      <c r="M2016" s="23"/>
      <c r="N2016" s="23"/>
      <c r="O2016" s="23"/>
      <c r="P2016" s="23"/>
      <c r="Q2016" s="23"/>
    </row>
    <row r="2017" spans="1:17" ht="12.75" customHeight="1">
      <c r="A2017" s="10" t="s">
        <v>83</v>
      </c>
      <c r="B2017" s="11" t="s">
        <v>1267</v>
      </c>
      <c r="C2017" s="11"/>
      <c r="D2017" s="11"/>
      <c r="E2017" s="12">
        <f>ROUND(0,2)</f>
        <v>0</v>
      </c>
      <c r="F2017" s="12">
        <f>ROUND(87429.01,2)</f>
        <v>87429.01</v>
      </c>
      <c r="G2017" s="12">
        <f>ROUND(87429.01,2)</f>
        <v>87429.01</v>
      </c>
      <c r="H2017" s="12">
        <f>ROUND(49204.57,2)</f>
        <v>49204.57</v>
      </c>
      <c r="I2017" s="13">
        <f>ROUND(49204.57,2)</f>
        <v>49204.57</v>
      </c>
      <c r="J2017" s="13"/>
      <c r="K2017" s="13">
        <f>ROUND(23396.04,2)</f>
        <v>23396.04</v>
      </c>
      <c r="L2017" s="13"/>
      <c r="M2017" s="12">
        <f>ROUND(23396.04,2)</f>
        <v>23396.04</v>
      </c>
      <c r="N2017" s="12">
        <f>ROUND(23396.04,2)</f>
        <v>23396.04</v>
      </c>
      <c r="O2017" s="12">
        <f>ROUND(38224.44,2)</f>
        <v>38224.44</v>
      </c>
      <c r="P2017" s="14">
        <v>43.72054538876742</v>
      </c>
      <c r="Q2017" s="14">
        <v>26.760042233121478</v>
      </c>
    </row>
    <row r="2018" spans="1:17" ht="12.75" customHeight="1">
      <c r="A2018" s="15" t="s">
        <v>1268</v>
      </c>
      <c r="B2018" s="15"/>
      <c r="C2018" s="15"/>
      <c r="D2018" s="15"/>
      <c r="E2018" s="16" t="s">
        <v>1269</v>
      </c>
      <c r="F2018" s="17">
        <f>ROUND(63483.79,2)</f>
        <v>63483.79</v>
      </c>
      <c r="G2018" s="17">
        <f>ROUND(0,2)</f>
        <v>0</v>
      </c>
      <c r="H2018" s="17">
        <f>ROUND(0,2)</f>
        <v>0</v>
      </c>
      <c r="I2018" s="17">
        <f>ROUND(25808.53,2)</f>
        <v>25808.53</v>
      </c>
      <c r="J2018" s="17"/>
      <c r="K2018" s="17">
        <f>ROUND(0,2)</f>
        <v>0</v>
      </c>
      <c r="L2018" s="17"/>
      <c r="M2018" s="17">
        <f>ROUND(0,2)</f>
        <v>0</v>
      </c>
      <c r="N2018" s="17">
        <f>ROUND(0,2)</f>
        <v>0</v>
      </c>
      <c r="O2018" s="17">
        <f>ROUND(64032.97,2)</f>
        <v>64032.97</v>
      </c>
      <c r="P2018" s="18">
        <v>56.279454611232595</v>
      </c>
      <c r="Q2018" s="18">
        <v>100</v>
      </c>
    </row>
    <row r="2019" spans="1:17" ht="12.75" customHeight="1">
      <c r="A2019" s="19" t="s">
        <v>286</v>
      </c>
      <c r="B2019" s="19"/>
      <c r="C2019" s="19"/>
      <c r="D2019" s="19"/>
      <c r="E2019" s="20">
        <f>SUM('DS1'!$A$508)</f>
        <v>0</v>
      </c>
      <c r="F2019" s="20">
        <v>87429.01</v>
      </c>
      <c r="G2019" s="20">
        <v>87429.01</v>
      </c>
      <c r="H2019" s="20">
        <v>49204.57</v>
      </c>
      <c r="I2019" s="21">
        <v>49204.57</v>
      </c>
      <c r="J2019" s="21"/>
      <c r="K2019" s="21">
        <v>23396.04</v>
      </c>
      <c r="L2019" s="21"/>
      <c r="M2019" s="20">
        <v>23396.04</v>
      </c>
      <c r="N2019" s="20">
        <v>23396.04</v>
      </c>
      <c r="O2019" s="20">
        <v>38224.44</v>
      </c>
      <c r="P2019" s="22">
        <v>43.72054538876742</v>
      </c>
      <c r="Q2019" s="22">
        <v>26.760042233121478</v>
      </c>
    </row>
    <row r="2020" spans="1:17" ht="12.75" customHeight="1">
      <c r="A2020" s="23"/>
      <c r="B2020" s="24"/>
      <c r="C2020" s="24"/>
      <c r="D2020" s="24"/>
      <c r="E2020" s="23"/>
      <c r="F2020" s="20">
        <v>63483.79</v>
      </c>
      <c r="G2020" s="20">
        <v>0</v>
      </c>
      <c r="H2020" s="20">
        <v>0</v>
      </c>
      <c r="I2020" s="21">
        <v>25808.53</v>
      </c>
      <c r="J2020" s="21"/>
      <c r="K2020" s="21">
        <v>0</v>
      </c>
      <c r="L2020" s="21"/>
      <c r="M2020" s="20">
        <v>0</v>
      </c>
      <c r="N2020" s="20">
        <v>0</v>
      </c>
      <c r="O2020" s="20">
        <v>64032.969999999994</v>
      </c>
      <c r="P2020" s="22">
        <v>56.279454611232595</v>
      </c>
      <c r="Q2020" s="22">
        <v>100</v>
      </c>
    </row>
    <row r="2021" spans="1:17" ht="20.25" customHeight="1">
      <c r="A2021" s="23"/>
      <c r="B2021" s="24"/>
      <c r="C2021" s="24"/>
      <c r="D2021" s="24"/>
      <c r="E2021" s="23"/>
      <c r="F2021" s="23"/>
      <c r="G2021" s="23"/>
      <c r="H2021" s="23"/>
      <c r="I2021" s="24"/>
      <c r="J2021" s="24"/>
      <c r="K2021" s="24"/>
      <c r="L2021" s="24"/>
      <c r="M2021" s="23"/>
      <c r="N2021" s="23"/>
      <c r="O2021" s="23"/>
      <c r="P2021" s="23"/>
      <c r="Q2021" s="23"/>
    </row>
    <row r="2022" spans="1:17" ht="12.75" customHeight="1">
      <c r="A2022" s="10"/>
      <c r="B2022" s="11" t="s">
        <v>1270</v>
      </c>
      <c r="C2022" s="11"/>
      <c r="D2022" s="11"/>
      <c r="E2022" s="12">
        <f>ROUND(40000,2)</f>
        <v>40000</v>
      </c>
      <c r="F2022" s="12">
        <f>ROUND(-23945.22,2)</f>
        <v>-23945.22</v>
      </c>
      <c r="G2022" s="12">
        <f>ROUND(16054.78,2)</f>
        <v>16054.78</v>
      </c>
      <c r="H2022" s="12">
        <f aca="true" t="shared" si="1164" ref="H2022:H2023">ROUND(0,2)</f>
        <v>0</v>
      </c>
      <c r="I2022" s="13">
        <f aca="true" t="shared" si="1165" ref="I2022:I2023">ROUND(0,2)</f>
        <v>0</v>
      </c>
      <c r="J2022" s="13"/>
      <c r="K2022" s="13">
        <f aca="true" t="shared" si="1166" ref="K2022:K2023">ROUND(0,2)</f>
        <v>0</v>
      </c>
      <c r="L2022" s="13"/>
      <c r="M2022" s="12">
        <f aca="true" t="shared" si="1167" ref="M2022:M2023">ROUND(0,2)</f>
        <v>0</v>
      </c>
      <c r="N2022" s="12">
        <f aca="true" t="shared" si="1168" ref="N2022:N2023">ROUND(0,2)</f>
        <v>0</v>
      </c>
      <c r="O2022" s="12">
        <f aca="true" t="shared" si="1169" ref="O2022:O2023">ROUND(16054.78,2)</f>
        <v>16054.78</v>
      </c>
      <c r="P2022" s="14">
        <v>100.00000000000003</v>
      </c>
      <c r="Q2022" s="14">
        <v>0</v>
      </c>
    </row>
    <row r="2023" spans="1:17" ht="12.75" customHeight="1">
      <c r="A2023" s="15" t="s">
        <v>1271</v>
      </c>
      <c r="B2023" s="15"/>
      <c r="C2023" s="15"/>
      <c r="D2023" s="15"/>
      <c r="E2023" s="16" t="s">
        <v>1272</v>
      </c>
      <c r="F2023" s="17">
        <f>ROUND(0,2)</f>
        <v>0</v>
      </c>
      <c r="G2023" s="17">
        <f>ROUND(0,2)</f>
        <v>0</v>
      </c>
      <c r="H2023" s="17">
        <f t="shared" si="1164"/>
        <v>0</v>
      </c>
      <c r="I2023" s="17">
        <f t="shared" si="1165"/>
        <v>0</v>
      </c>
      <c r="J2023" s="17"/>
      <c r="K2023" s="17">
        <f t="shared" si="1166"/>
        <v>0</v>
      </c>
      <c r="L2023" s="17"/>
      <c r="M2023" s="17">
        <f t="shared" si="1167"/>
        <v>0</v>
      </c>
      <c r="N2023" s="17">
        <f t="shared" si="1168"/>
        <v>0</v>
      </c>
      <c r="O2023" s="17">
        <f t="shared" si="1169"/>
        <v>16054.78</v>
      </c>
      <c r="P2023" s="18">
        <v>0</v>
      </c>
      <c r="Q2023" s="18">
        <v>0</v>
      </c>
    </row>
    <row r="2024" spans="1:17" ht="12.75" customHeight="1">
      <c r="A2024" s="19" t="s">
        <v>470</v>
      </c>
      <c r="B2024" s="19"/>
      <c r="C2024" s="19"/>
      <c r="D2024" s="19"/>
      <c r="E2024" s="20">
        <f>SUM('DS1'!$A$509)</f>
        <v>40000</v>
      </c>
      <c r="F2024" s="20">
        <v>-23945.22</v>
      </c>
      <c r="G2024" s="20">
        <v>16054.78</v>
      </c>
      <c r="H2024" s="20">
        <v>0</v>
      </c>
      <c r="I2024" s="21">
        <v>0</v>
      </c>
      <c r="J2024" s="21"/>
      <c r="K2024" s="21">
        <v>0</v>
      </c>
      <c r="L2024" s="21"/>
      <c r="M2024" s="20">
        <v>0</v>
      </c>
      <c r="N2024" s="20">
        <v>0</v>
      </c>
      <c r="O2024" s="20">
        <v>16054.78</v>
      </c>
      <c r="P2024" s="22">
        <v>100.00000000000003</v>
      </c>
      <c r="Q2024" s="22">
        <v>0</v>
      </c>
    </row>
    <row r="2025" spans="1:17" ht="12.75" customHeight="1">
      <c r="A2025" s="23"/>
      <c r="B2025" s="24"/>
      <c r="C2025" s="24"/>
      <c r="D2025" s="24"/>
      <c r="E2025" s="23"/>
      <c r="F2025" s="20">
        <v>0</v>
      </c>
      <c r="G2025" s="20">
        <v>0</v>
      </c>
      <c r="H2025" s="20">
        <v>0</v>
      </c>
      <c r="I2025" s="21">
        <v>0</v>
      </c>
      <c r="J2025" s="21"/>
      <c r="K2025" s="21">
        <v>0</v>
      </c>
      <c r="L2025" s="21"/>
      <c r="M2025" s="20">
        <v>0</v>
      </c>
      <c r="N2025" s="20">
        <v>0</v>
      </c>
      <c r="O2025" s="20">
        <v>16054.78</v>
      </c>
      <c r="P2025" s="22">
        <v>0</v>
      </c>
      <c r="Q2025" s="22">
        <v>0</v>
      </c>
    </row>
    <row r="2026" spans="1:17" ht="20.25" customHeight="1">
      <c r="A2026" s="23"/>
      <c r="B2026" s="24"/>
      <c r="C2026" s="24"/>
      <c r="D2026" s="24"/>
      <c r="E2026" s="23"/>
      <c r="F2026" s="23"/>
      <c r="G2026" s="23"/>
      <c r="H2026" s="23"/>
      <c r="I2026" s="24"/>
      <c r="J2026" s="24"/>
      <c r="K2026" s="24"/>
      <c r="L2026" s="24"/>
      <c r="M2026" s="23"/>
      <c r="N2026" s="23"/>
      <c r="O2026" s="23"/>
      <c r="P2026" s="23"/>
      <c r="Q2026" s="23"/>
    </row>
    <row r="2027" spans="1:17" ht="12.75" customHeight="1">
      <c r="A2027" s="19" t="s">
        <v>1273</v>
      </c>
      <c r="B2027" s="19"/>
      <c r="C2027" s="19"/>
      <c r="D2027" s="19"/>
      <c r="E2027" s="20">
        <f>SUM('DS1'!$A$503:$A$509)</f>
        <v>330979.75</v>
      </c>
      <c r="F2027" s="20">
        <v>73474.07999999999</v>
      </c>
      <c r="G2027" s="20">
        <v>404453.82999999996</v>
      </c>
      <c r="H2027" s="20">
        <v>64704.2</v>
      </c>
      <c r="I2027" s="21">
        <v>64704.2</v>
      </c>
      <c r="J2027" s="21"/>
      <c r="K2027" s="21">
        <v>33663.07</v>
      </c>
      <c r="L2027" s="21"/>
      <c r="M2027" s="20">
        <v>33663.07</v>
      </c>
      <c r="N2027" s="20">
        <v>33663.07</v>
      </c>
      <c r="O2027" s="20">
        <v>339749.63</v>
      </c>
      <c r="P2027" s="22">
        <v>84.0020800396426</v>
      </c>
      <c r="Q2027" s="22">
        <v>8.323093392390426</v>
      </c>
    </row>
    <row r="2028" spans="1:17" ht="12.75" customHeight="1">
      <c r="A2028" s="23"/>
      <c r="B2028" s="24"/>
      <c r="C2028" s="24"/>
      <c r="D2028" s="24"/>
      <c r="E2028" s="23"/>
      <c r="F2028" s="20">
        <v>73474.08</v>
      </c>
      <c r="G2028" s="20">
        <v>0</v>
      </c>
      <c r="H2028" s="20">
        <v>0</v>
      </c>
      <c r="I2028" s="21">
        <v>31041.129999999997</v>
      </c>
      <c r="J2028" s="21"/>
      <c r="K2028" s="21">
        <v>0</v>
      </c>
      <c r="L2028" s="21"/>
      <c r="M2028" s="20">
        <v>0</v>
      </c>
      <c r="N2028" s="20">
        <v>0</v>
      </c>
      <c r="O2028" s="20">
        <v>370790.76</v>
      </c>
      <c r="P2028" s="22">
        <v>15.997919960357404</v>
      </c>
      <c r="Q2028" s="22">
        <v>100</v>
      </c>
    </row>
    <row r="2029" spans="1:17" ht="18" customHeight="1">
      <c r="A2029" s="23"/>
      <c r="B2029" s="24"/>
      <c r="C2029" s="24"/>
      <c r="D2029" s="24"/>
      <c r="E2029" s="23"/>
      <c r="F2029" s="23"/>
      <c r="G2029" s="23"/>
      <c r="H2029" s="23"/>
      <c r="I2029" s="24"/>
      <c r="J2029" s="24"/>
      <c r="K2029" s="24"/>
      <c r="L2029" s="24"/>
      <c r="M2029" s="23"/>
      <c r="N2029" s="23"/>
      <c r="O2029" s="23"/>
      <c r="P2029" s="23"/>
      <c r="Q2029" s="23"/>
    </row>
    <row r="2030" spans="1:17" ht="12.75" customHeight="1">
      <c r="A2030" s="10"/>
      <c r="B2030" s="11" t="s">
        <v>1274</v>
      </c>
      <c r="C2030" s="11"/>
      <c r="D2030" s="11"/>
      <c r="E2030" s="12">
        <f>ROUND(2600,2)</f>
        <v>2600</v>
      </c>
      <c r="F2030" s="12">
        <f>ROUND(323.22,2)</f>
        <v>323.22</v>
      </c>
      <c r="G2030" s="12">
        <f>ROUND(2923.22,2)</f>
        <v>2923.22</v>
      </c>
      <c r="H2030" s="12">
        <f>ROUND(3923.22,2)</f>
        <v>3923.22</v>
      </c>
      <c r="I2030" s="13">
        <f>ROUND(3923.22,2)</f>
        <v>3923.22</v>
      </c>
      <c r="J2030" s="13"/>
      <c r="K2030" s="13">
        <f>ROUND(3923.22,2)</f>
        <v>3923.22</v>
      </c>
      <c r="L2030" s="13"/>
      <c r="M2030" s="12">
        <f>ROUND(3923.22,2)</f>
        <v>3923.22</v>
      </c>
      <c r="N2030" s="12">
        <f>ROUND(3923.22,2)</f>
        <v>3923.22</v>
      </c>
      <c r="O2030" s="12">
        <f>ROUND(-1000,2)</f>
        <v>-1000</v>
      </c>
      <c r="P2030" s="14">
        <v>-34.208851882513116</v>
      </c>
      <c r="Q2030" s="14">
        <v>134.2088518825131</v>
      </c>
    </row>
    <row r="2031" spans="1:17" ht="12.75" customHeight="1">
      <c r="A2031" s="15" t="s">
        <v>1275</v>
      </c>
      <c r="B2031" s="15"/>
      <c r="C2031" s="15"/>
      <c r="D2031" s="15"/>
      <c r="E2031" s="16" t="s">
        <v>1276</v>
      </c>
      <c r="F2031" s="17">
        <f aca="true" t="shared" si="1170" ref="F2031:F2033">ROUND(0,2)</f>
        <v>0</v>
      </c>
      <c r="G2031" s="17">
        <f>ROUND(0,2)</f>
        <v>0</v>
      </c>
      <c r="H2031" s="17">
        <f>ROUND(0,2)</f>
        <v>0</v>
      </c>
      <c r="I2031" s="17">
        <f>ROUND(0,2)</f>
        <v>0</v>
      </c>
      <c r="J2031" s="17"/>
      <c r="K2031" s="17">
        <f>ROUND(0,2)</f>
        <v>0</v>
      </c>
      <c r="L2031" s="17"/>
      <c r="M2031" s="17">
        <f>ROUND(0,2)</f>
        <v>0</v>
      </c>
      <c r="N2031" s="17">
        <f aca="true" t="shared" si="1171" ref="N2031:N2033">ROUND(0,2)</f>
        <v>0</v>
      </c>
      <c r="O2031" s="17">
        <f>ROUND(-1000,2)</f>
        <v>-1000</v>
      </c>
      <c r="P2031" s="18">
        <v>134.2088518825131</v>
      </c>
      <c r="Q2031" s="18">
        <v>100</v>
      </c>
    </row>
    <row r="2032" spans="1:17" ht="12.75" customHeight="1">
      <c r="A2032" s="10"/>
      <c r="B2032" s="11" t="s">
        <v>1277</v>
      </c>
      <c r="C2032" s="11"/>
      <c r="D2032" s="11"/>
      <c r="E2032" s="12">
        <f>ROUND(4000,2)</f>
        <v>4000</v>
      </c>
      <c r="F2032" s="12">
        <f t="shared" si="1170"/>
        <v>0</v>
      </c>
      <c r="G2032" s="12">
        <f>ROUND(4000,2)</f>
        <v>4000</v>
      </c>
      <c r="H2032" s="12">
        <f>ROUND(3000,2)</f>
        <v>3000</v>
      </c>
      <c r="I2032" s="13">
        <f>ROUND(3000,2)</f>
        <v>3000</v>
      </c>
      <c r="J2032" s="13"/>
      <c r="K2032" s="13">
        <f>ROUND(3000,2)</f>
        <v>3000</v>
      </c>
      <c r="L2032" s="13"/>
      <c r="M2032" s="12">
        <f aca="true" t="shared" si="1172" ref="M2032:M2033">ROUND(3000,2)</f>
        <v>3000</v>
      </c>
      <c r="N2032" s="12">
        <f t="shared" si="1171"/>
        <v>0</v>
      </c>
      <c r="O2032" s="12">
        <f aca="true" t="shared" si="1173" ref="O2032:O2033">ROUND(1000,2)</f>
        <v>1000</v>
      </c>
      <c r="P2032" s="14">
        <v>25</v>
      </c>
      <c r="Q2032" s="14">
        <v>75</v>
      </c>
    </row>
    <row r="2033" spans="1:17" ht="12.75" customHeight="1">
      <c r="A2033" s="15" t="s">
        <v>1278</v>
      </c>
      <c r="B2033" s="15"/>
      <c r="C2033" s="15"/>
      <c r="D2033" s="15"/>
      <c r="E2033" s="16" t="s">
        <v>1276</v>
      </c>
      <c r="F2033" s="17">
        <f t="shared" si="1170"/>
        <v>0</v>
      </c>
      <c r="G2033" s="17">
        <f>ROUND(0,2)</f>
        <v>0</v>
      </c>
      <c r="H2033" s="17">
        <f>ROUND(0,2)</f>
        <v>0</v>
      </c>
      <c r="I2033" s="17">
        <f>ROUND(0,2)</f>
        <v>0</v>
      </c>
      <c r="J2033" s="17"/>
      <c r="K2033" s="17">
        <f>ROUND(0,2)</f>
        <v>0</v>
      </c>
      <c r="L2033" s="17"/>
      <c r="M2033" s="17">
        <f t="shared" si="1172"/>
        <v>3000</v>
      </c>
      <c r="N2033" s="17">
        <f t="shared" si="1171"/>
        <v>0</v>
      </c>
      <c r="O2033" s="17">
        <f t="shared" si="1173"/>
        <v>1000</v>
      </c>
      <c r="P2033" s="18">
        <v>75</v>
      </c>
      <c r="Q2033" s="18">
        <v>0</v>
      </c>
    </row>
    <row r="2034" spans="1:17" ht="12.75" customHeight="1">
      <c r="A2034" s="19" t="s">
        <v>1279</v>
      </c>
      <c r="B2034" s="19"/>
      <c r="C2034" s="19"/>
      <c r="D2034" s="19"/>
      <c r="E2034" s="20">
        <f>SUM('DS1'!$A$510:$A$511)</f>
        <v>6600</v>
      </c>
      <c r="F2034" s="20">
        <v>323.22</v>
      </c>
      <c r="G2034" s="20">
        <v>6923.22</v>
      </c>
      <c r="H2034" s="20">
        <v>6923.22</v>
      </c>
      <c r="I2034" s="21">
        <v>6923.22</v>
      </c>
      <c r="J2034" s="21"/>
      <c r="K2034" s="21">
        <v>6923.22</v>
      </c>
      <c r="L2034" s="21"/>
      <c r="M2034" s="20">
        <v>6923.22</v>
      </c>
      <c r="N2034" s="20">
        <v>3923.22</v>
      </c>
      <c r="O2034" s="20">
        <v>0</v>
      </c>
      <c r="P2034" s="22">
        <v>0</v>
      </c>
      <c r="Q2034" s="22">
        <v>100</v>
      </c>
    </row>
    <row r="2035" spans="1:17" ht="12.75" customHeight="1">
      <c r="A2035" s="23"/>
      <c r="B2035" s="24"/>
      <c r="C2035" s="24"/>
      <c r="D2035" s="24"/>
      <c r="E2035" s="23"/>
      <c r="F2035" s="20">
        <v>0</v>
      </c>
      <c r="G2035" s="20">
        <v>0</v>
      </c>
      <c r="H2035" s="20">
        <v>0</v>
      </c>
      <c r="I2035" s="21">
        <v>0</v>
      </c>
      <c r="J2035" s="21"/>
      <c r="K2035" s="21">
        <v>0</v>
      </c>
      <c r="L2035" s="21"/>
      <c r="M2035" s="20">
        <v>3000</v>
      </c>
      <c r="N2035" s="20">
        <v>0</v>
      </c>
      <c r="O2035" s="20">
        <v>4.547473508864641E-13</v>
      </c>
      <c r="P2035" s="22">
        <v>100</v>
      </c>
      <c r="Q2035" s="22">
        <v>56.66756220371445</v>
      </c>
    </row>
    <row r="2036" spans="1:17" ht="20.25" customHeight="1">
      <c r="A2036" s="23"/>
      <c r="B2036" s="24"/>
      <c r="C2036" s="24"/>
      <c r="D2036" s="24"/>
      <c r="E2036" s="23"/>
      <c r="F2036" s="23"/>
      <c r="G2036" s="23"/>
      <c r="H2036" s="23"/>
      <c r="I2036" s="24"/>
      <c r="J2036" s="24"/>
      <c r="K2036" s="24"/>
      <c r="L2036" s="24"/>
      <c r="M2036" s="23"/>
      <c r="N2036" s="23"/>
      <c r="O2036" s="23"/>
      <c r="P2036" s="23"/>
      <c r="Q2036" s="23"/>
    </row>
    <row r="2037" spans="1:17" ht="12.75" customHeight="1">
      <c r="A2037" s="19" t="s">
        <v>1280</v>
      </c>
      <c r="B2037" s="19"/>
      <c r="C2037" s="19"/>
      <c r="D2037" s="19"/>
      <c r="E2037" s="20">
        <f>SUM('DS1'!$A$510:$A$511)</f>
        <v>6600</v>
      </c>
      <c r="F2037" s="20">
        <v>323.22</v>
      </c>
      <c r="G2037" s="20">
        <v>6923.22</v>
      </c>
      <c r="H2037" s="20">
        <v>6923.22</v>
      </c>
      <c r="I2037" s="21">
        <v>6923.22</v>
      </c>
      <c r="J2037" s="21"/>
      <c r="K2037" s="21">
        <v>6923.22</v>
      </c>
      <c r="L2037" s="21"/>
      <c r="M2037" s="20">
        <v>6923.22</v>
      </c>
      <c r="N2037" s="20">
        <v>3923.22</v>
      </c>
      <c r="O2037" s="20">
        <v>0</v>
      </c>
      <c r="P2037" s="22">
        <v>0</v>
      </c>
      <c r="Q2037" s="22">
        <v>100</v>
      </c>
    </row>
    <row r="2038" spans="1:17" ht="12.75" customHeight="1">
      <c r="A2038" s="23"/>
      <c r="B2038" s="24"/>
      <c r="C2038" s="24"/>
      <c r="D2038" s="24"/>
      <c r="E2038" s="23"/>
      <c r="F2038" s="20">
        <v>0</v>
      </c>
      <c r="G2038" s="20">
        <v>0</v>
      </c>
      <c r="H2038" s="20">
        <v>0</v>
      </c>
      <c r="I2038" s="21">
        <v>0</v>
      </c>
      <c r="J2038" s="21"/>
      <c r="K2038" s="21">
        <v>0</v>
      </c>
      <c r="L2038" s="21"/>
      <c r="M2038" s="20">
        <v>3000</v>
      </c>
      <c r="N2038" s="20">
        <v>0</v>
      </c>
      <c r="O2038" s="20">
        <v>4.547473508864641E-13</v>
      </c>
      <c r="P2038" s="22">
        <v>100</v>
      </c>
      <c r="Q2038" s="22">
        <v>56.66756220371445</v>
      </c>
    </row>
    <row r="2039" spans="1:17" ht="18" customHeight="1">
      <c r="A2039" s="23"/>
      <c r="B2039" s="24"/>
      <c r="C2039" s="24"/>
      <c r="D2039" s="24"/>
      <c r="E2039" s="23"/>
      <c r="F2039" s="23"/>
      <c r="G2039" s="23"/>
      <c r="H2039" s="23"/>
      <c r="I2039" s="24"/>
      <c r="J2039" s="24"/>
      <c r="K2039" s="24"/>
      <c r="L2039" s="24"/>
      <c r="M2039" s="23"/>
      <c r="N2039" s="23"/>
      <c r="O2039" s="23"/>
      <c r="P2039" s="23"/>
      <c r="Q2039" s="23"/>
    </row>
    <row r="2040" spans="1:17" ht="12.75" customHeight="1">
      <c r="A2040" s="25"/>
      <c r="B2040" s="26"/>
      <c r="C2040" s="26"/>
      <c r="D2040" s="26"/>
      <c r="E2040" s="25"/>
      <c r="F2040" s="25"/>
      <c r="G2040" s="25"/>
      <c r="H2040" s="25"/>
      <c r="I2040" s="26"/>
      <c r="J2040" s="26"/>
      <c r="K2040" s="26"/>
      <c r="L2040" s="26"/>
      <c r="M2040" s="25"/>
      <c r="N2040" s="25"/>
      <c r="O2040" s="25"/>
      <c r="P2040" s="25"/>
      <c r="Q2040" s="25"/>
    </row>
    <row r="2041" spans="1:17" ht="12.75" customHeight="1">
      <c r="A2041" s="25"/>
      <c r="B2041" s="27" t="s">
        <v>1281</v>
      </c>
      <c r="C2041" s="27"/>
      <c r="D2041" s="27"/>
      <c r="E2041" s="28">
        <f>SUM('DS1'!$A$2:$A$511)</f>
        <v>50280059.85</v>
      </c>
      <c r="F2041" s="28">
        <v>5331976.109999997</v>
      </c>
      <c r="G2041" s="28">
        <v>55612035.95999998</v>
      </c>
      <c r="H2041" s="28">
        <v>35825837.88</v>
      </c>
      <c r="I2041" s="29">
        <v>35825837.88</v>
      </c>
      <c r="J2041" s="29"/>
      <c r="K2041" s="29">
        <v>32454293.59</v>
      </c>
      <c r="L2041" s="29"/>
      <c r="M2041" s="28">
        <v>32454293.59</v>
      </c>
      <c r="N2041" s="28">
        <v>29385299.44</v>
      </c>
      <c r="O2041" s="28">
        <v>18570770.63</v>
      </c>
      <c r="P2041" s="30">
        <v>33.39343778630439</v>
      </c>
      <c r="Q2041" s="30">
        <v>58.35839855484377</v>
      </c>
    </row>
    <row r="2042" spans="1:17" ht="12.75" customHeight="1">
      <c r="A2042" s="25"/>
      <c r="B2042" s="26"/>
      <c r="C2042" s="26"/>
      <c r="D2042" s="26"/>
      <c r="E2042" s="25"/>
      <c r="F2042" s="28">
        <v>2604372.75</v>
      </c>
      <c r="G2042" s="28">
        <v>1215427.45</v>
      </c>
      <c r="H2042" s="28">
        <v>0</v>
      </c>
      <c r="I2042" s="29">
        <v>3371544.2900000005</v>
      </c>
      <c r="J2042" s="29"/>
      <c r="K2042" s="29">
        <v>0</v>
      </c>
      <c r="L2042" s="29"/>
      <c r="M2042" s="28">
        <v>3068994.150000001</v>
      </c>
      <c r="N2042" s="28">
        <v>29326.06</v>
      </c>
      <c r="O2042" s="28">
        <v>23157742.369999982</v>
      </c>
      <c r="P2042" s="30">
        <v>64.42101473459496</v>
      </c>
      <c r="Q2042" s="30">
        <v>90.5436421178312</v>
      </c>
    </row>
    <row r="2043" spans="1:17" ht="12.75" customHeight="1">
      <c r="A2043" s="24"/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</row>
  </sheetData>
  <sheetProtection selectLockedCells="1" selectUnlockedCells="1"/>
  <mergeCells count="6118">
    <mergeCell ref="A1:B6"/>
    <mergeCell ref="C1:C6"/>
    <mergeCell ref="D1:I1"/>
    <mergeCell ref="J1:K6"/>
    <mergeCell ref="D2:I2"/>
    <mergeCell ref="D3:I3"/>
    <mergeCell ref="D4:I4"/>
    <mergeCell ref="D5:I5"/>
    <mergeCell ref="D6:I6"/>
    <mergeCell ref="B7:D7"/>
    <mergeCell ref="I7:J7"/>
    <mergeCell ref="K7:L7"/>
    <mergeCell ref="A8:D8"/>
    <mergeCell ref="I8:J8"/>
    <mergeCell ref="K8:L8"/>
    <mergeCell ref="B9:D9"/>
    <mergeCell ref="I9:J9"/>
    <mergeCell ref="K9:L9"/>
    <mergeCell ref="A10:D10"/>
    <mergeCell ref="I10:J10"/>
    <mergeCell ref="K10:L10"/>
    <mergeCell ref="A11:D11"/>
    <mergeCell ref="I11:J11"/>
    <mergeCell ref="K11:L11"/>
    <mergeCell ref="B12:D12"/>
    <mergeCell ref="I12:J12"/>
    <mergeCell ref="K12:L12"/>
    <mergeCell ref="B13:D13"/>
    <mergeCell ref="I13:J13"/>
    <mergeCell ref="K13:L13"/>
    <mergeCell ref="A14:D14"/>
    <mergeCell ref="I14:J14"/>
    <mergeCell ref="K14:L14"/>
    <mergeCell ref="B15:D15"/>
    <mergeCell ref="I15:J15"/>
    <mergeCell ref="K15:L15"/>
    <mergeCell ref="B16:D16"/>
    <mergeCell ref="I16:J16"/>
    <mergeCell ref="K16:L16"/>
    <mergeCell ref="B17:D17"/>
    <mergeCell ref="I17:J17"/>
    <mergeCell ref="K17:L17"/>
    <mergeCell ref="A18:D18"/>
    <mergeCell ref="I18:J18"/>
    <mergeCell ref="K18:L18"/>
    <mergeCell ref="A19:D19"/>
    <mergeCell ref="I19:J19"/>
    <mergeCell ref="K19:L19"/>
    <mergeCell ref="B20:D20"/>
    <mergeCell ref="I20:J20"/>
    <mergeCell ref="K20:L20"/>
    <mergeCell ref="B21:D21"/>
    <mergeCell ref="I21:J21"/>
    <mergeCell ref="K21:L21"/>
    <mergeCell ref="A22:D22"/>
    <mergeCell ref="I22:J22"/>
    <mergeCell ref="K22:L22"/>
    <mergeCell ref="B23:D23"/>
    <mergeCell ref="I23:J23"/>
    <mergeCell ref="K23:L23"/>
    <mergeCell ref="B24:D24"/>
    <mergeCell ref="I24:J24"/>
    <mergeCell ref="K24:L24"/>
    <mergeCell ref="B25:D25"/>
    <mergeCell ref="I25:J25"/>
    <mergeCell ref="K25:L25"/>
    <mergeCell ref="A26:D26"/>
    <mergeCell ref="I26:J26"/>
    <mergeCell ref="K26:L26"/>
    <mergeCell ref="B27:D27"/>
    <mergeCell ref="I27:J27"/>
    <mergeCell ref="K27:L27"/>
    <mergeCell ref="A28:D28"/>
    <mergeCell ref="I28:J28"/>
    <mergeCell ref="K28:L28"/>
    <mergeCell ref="B29:D29"/>
    <mergeCell ref="I29:J29"/>
    <mergeCell ref="K29:L29"/>
    <mergeCell ref="A30:D30"/>
    <mergeCell ref="I30:J30"/>
    <mergeCell ref="K30:L30"/>
    <mergeCell ref="B31:D31"/>
    <mergeCell ref="I31:J31"/>
    <mergeCell ref="K31:L31"/>
    <mergeCell ref="A32:D32"/>
    <mergeCell ref="I32:J32"/>
    <mergeCell ref="K32:L32"/>
    <mergeCell ref="A33:D33"/>
    <mergeCell ref="I33:J33"/>
    <mergeCell ref="K33:L33"/>
    <mergeCell ref="B34:D34"/>
    <mergeCell ref="I34:J34"/>
    <mergeCell ref="K34:L34"/>
    <mergeCell ref="B35:D35"/>
    <mergeCell ref="I35:J35"/>
    <mergeCell ref="K35:L35"/>
    <mergeCell ref="B36:D36"/>
    <mergeCell ref="I36:J36"/>
    <mergeCell ref="K36:L36"/>
    <mergeCell ref="A37:D37"/>
    <mergeCell ref="I37:J37"/>
    <mergeCell ref="K37:L37"/>
    <mergeCell ref="B38:D38"/>
    <mergeCell ref="I38:J38"/>
    <mergeCell ref="K38:L38"/>
    <mergeCell ref="A39:D39"/>
    <mergeCell ref="I39:J39"/>
    <mergeCell ref="K39:L39"/>
    <mergeCell ref="B40:D40"/>
    <mergeCell ref="I40:J40"/>
    <mergeCell ref="K40:L40"/>
    <mergeCell ref="A41:D41"/>
    <mergeCell ref="I41:J41"/>
    <mergeCell ref="K41:L41"/>
    <mergeCell ref="B42:D42"/>
    <mergeCell ref="I42:J42"/>
    <mergeCell ref="K42:L42"/>
    <mergeCell ref="A43:D43"/>
    <mergeCell ref="I43:J43"/>
    <mergeCell ref="K43:L43"/>
    <mergeCell ref="A44:D44"/>
    <mergeCell ref="I44:J44"/>
    <mergeCell ref="K44:L44"/>
    <mergeCell ref="B45:D45"/>
    <mergeCell ref="I45:J45"/>
    <mergeCell ref="K45:L45"/>
    <mergeCell ref="B46:D46"/>
    <mergeCell ref="I46:J46"/>
    <mergeCell ref="K46:L46"/>
    <mergeCell ref="B47:D47"/>
    <mergeCell ref="I47:J47"/>
    <mergeCell ref="K47:L47"/>
    <mergeCell ref="A48:D48"/>
    <mergeCell ref="I48:J48"/>
    <mergeCell ref="K48:L48"/>
    <mergeCell ref="A49:D49"/>
    <mergeCell ref="I49:J49"/>
    <mergeCell ref="K49:L49"/>
    <mergeCell ref="B50:D50"/>
    <mergeCell ref="I50:J50"/>
    <mergeCell ref="K50:L50"/>
    <mergeCell ref="B51:D51"/>
    <mergeCell ref="I51:J51"/>
    <mergeCell ref="K51:L51"/>
    <mergeCell ref="B52:D52"/>
    <mergeCell ref="I52:J52"/>
    <mergeCell ref="K52:L52"/>
    <mergeCell ref="A53:D53"/>
    <mergeCell ref="I53:J53"/>
    <mergeCell ref="K53:L53"/>
    <mergeCell ref="A54:D54"/>
    <mergeCell ref="I54:J54"/>
    <mergeCell ref="K54:L54"/>
    <mergeCell ref="B55:D55"/>
    <mergeCell ref="I55:J55"/>
    <mergeCell ref="K55:L55"/>
    <mergeCell ref="B56:D56"/>
    <mergeCell ref="I56:J56"/>
    <mergeCell ref="K56:L56"/>
    <mergeCell ref="B57:D57"/>
    <mergeCell ref="I57:J57"/>
    <mergeCell ref="K57:L57"/>
    <mergeCell ref="A58:D58"/>
    <mergeCell ref="I58:J58"/>
    <mergeCell ref="K58:L58"/>
    <mergeCell ref="B59:D59"/>
    <mergeCell ref="I59:J59"/>
    <mergeCell ref="K59:L59"/>
    <mergeCell ref="A60:D60"/>
    <mergeCell ref="I60:J60"/>
    <mergeCell ref="K60:L60"/>
    <mergeCell ref="A61:D61"/>
    <mergeCell ref="I61:J61"/>
    <mergeCell ref="K61:L61"/>
    <mergeCell ref="B62:D62"/>
    <mergeCell ref="I62:J62"/>
    <mergeCell ref="K62:L62"/>
    <mergeCell ref="B63:D63"/>
    <mergeCell ref="I63:J63"/>
    <mergeCell ref="K63:L63"/>
    <mergeCell ref="B64:D64"/>
    <mergeCell ref="I64:J64"/>
    <mergeCell ref="K64:L64"/>
    <mergeCell ref="A65:D65"/>
    <mergeCell ref="I65:J65"/>
    <mergeCell ref="K65:L65"/>
    <mergeCell ref="A66:D66"/>
    <mergeCell ref="I66:J66"/>
    <mergeCell ref="K66:L66"/>
    <mergeCell ref="B67:D67"/>
    <mergeCell ref="I67:J67"/>
    <mergeCell ref="K67:L67"/>
    <mergeCell ref="B68:D68"/>
    <mergeCell ref="I68:J68"/>
    <mergeCell ref="K68:L68"/>
    <mergeCell ref="B69:D69"/>
    <mergeCell ref="I69:J69"/>
    <mergeCell ref="K69:L69"/>
    <mergeCell ref="A70:D70"/>
    <mergeCell ref="I70:J70"/>
    <mergeCell ref="K70:L70"/>
    <mergeCell ref="A71:D71"/>
    <mergeCell ref="I71:J71"/>
    <mergeCell ref="K71:L71"/>
    <mergeCell ref="B72:D72"/>
    <mergeCell ref="I72:J72"/>
    <mergeCell ref="K72:L72"/>
    <mergeCell ref="B73:D73"/>
    <mergeCell ref="I73:J73"/>
    <mergeCell ref="K73:L73"/>
    <mergeCell ref="B74:D74"/>
    <mergeCell ref="I74:J74"/>
    <mergeCell ref="K74:L74"/>
    <mergeCell ref="A75:D75"/>
    <mergeCell ref="I75:J75"/>
    <mergeCell ref="K75:L75"/>
    <mergeCell ref="A76:D76"/>
    <mergeCell ref="I76:J76"/>
    <mergeCell ref="K76:L76"/>
    <mergeCell ref="B77:D77"/>
    <mergeCell ref="I77:J77"/>
    <mergeCell ref="K77:L77"/>
    <mergeCell ref="B78:D78"/>
    <mergeCell ref="I78:J78"/>
    <mergeCell ref="K78:L78"/>
    <mergeCell ref="B79:D79"/>
    <mergeCell ref="I79:J79"/>
    <mergeCell ref="K79:L79"/>
    <mergeCell ref="A80:D80"/>
    <mergeCell ref="I80:J80"/>
    <mergeCell ref="K80:L80"/>
    <mergeCell ref="A81:D81"/>
    <mergeCell ref="I81:J81"/>
    <mergeCell ref="K81:L81"/>
    <mergeCell ref="B82:D82"/>
    <mergeCell ref="I82:J82"/>
    <mergeCell ref="K82:L82"/>
    <mergeCell ref="B83:D83"/>
    <mergeCell ref="I83:J83"/>
    <mergeCell ref="K83:L83"/>
    <mergeCell ref="B84:D84"/>
    <mergeCell ref="I84:J84"/>
    <mergeCell ref="K84:L84"/>
    <mergeCell ref="A85:D85"/>
    <mergeCell ref="I85:J85"/>
    <mergeCell ref="K85:L85"/>
    <mergeCell ref="B86:D86"/>
    <mergeCell ref="I86:J86"/>
    <mergeCell ref="K86:L86"/>
    <mergeCell ref="A87:D87"/>
    <mergeCell ref="I87:J87"/>
    <mergeCell ref="K87:L87"/>
    <mergeCell ref="B88:D88"/>
    <mergeCell ref="I88:J88"/>
    <mergeCell ref="K88:L88"/>
    <mergeCell ref="A89:D89"/>
    <mergeCell ref="I89:J89"/>
    <mergeCell ref="K89:L89"/>
    <mergeCell ref="B90:D90"/>
    <mergeCell ref="I90:J90"/>
    <mergeCell ref="K90:L90"/>
    <mergeCell ref="A91:D91"/>
    <mergeCell ref="I91:J91"/>
    <mergeCell ref="K91:L91"/>
    <mergeCell ref="A92:D92"/>
    <mergeCell ref="I92:J92"/>
    <mergeCell ref="K92:L92"/>
    <mergeCell ref="B93:D93"/>
    <mergeCell ref="I93:J93"/>
    <mergeCell ref="K93:L93"/>
    <mergeCell ref="B94:D94"/>
    <mergeCell ref="I94:J94"/>
    <mergeCell ref="K94:L94"/>
    <mergeCell ref="B95:D95"/>
    <mergeCell ref="I95:J95"/>
    <mergeCell ref="K95:L95"/>
    <mergeCell ref="A96:D96"/>
    <mergeCell ref="I96:J96"/>
    <mergeCell ref="K96:L96"/>
    <mergeCell ref="A97:D97"/>
    <mergeCell ref="I97:J97"/>
    <mergeCell ref="K97:L97"/>
    <mergeCell ref="B98:D98"/>
    <mergeCell ref="I98:J98"/>
    <mergeCell ref="K98:L98"/>
    <mergeCell ref="B99:D99"/>
    <mergeCell ref="I99:J99"/>
    <mergeCell ref="K99:L99"/>
    <mergeCell ref="B100:D100"/>
    <mergeCell ref="I100:J100"/>
    <mergeCell ref="K100:L100"/>
    <mergeCell ref="A101:D101"/>
    <mergeCell ref="I101:J101"/>
    <mergeCell ref="K101:L101"/>
    <mergeCell ref="A102:D102"/>
    <mergeCell ref="I102:J102"/>
    <mergeCell ref="K102:L102"/>
    <mergeCell ref="B103:D103"/>
    <mergeCell ref="I103:J103"/>
    <mergeCell ref="K103:L103"/>
    <mergeCell ref="B104:D104"/>
    <mergeCell ref="I104:J104"/>
    <mergeCell ref="K104:L104"/>
    <mergeCell ref="B105:D105"/>
    <mergeCell ref="I105:J105"/>
    <mergeCell ref="K105:L105"/>
    <mergeCell ref="A106:D106"/>
    <mergeCell ref="I106:J106"/>
    <mergeCell ref="K106:L106"/>
    <mergeCell ref="B107:D107"/>
    <mergeCell ref="I107:J107"/>
    <mergeCell ref="K107:L107"/>
    <mergeCell ref="A108:D108"/>
    <mergeCell ref="I108:J108"/>
    <mergeCell ref="K108:L108"/>
    <mergeCell ref="B109:D109"/>
    <mergeCell ref="I109:J109"/>
    <mergeCell ref="K109:L109"/>
    <mergeCell ref="A110:D110"/>
    <mergeCell ref="I110:J110"/>
    <mergeCell ref="K110:L110"/>
    <mergeCell ref="A111:D111"/>
    <mergeCell ref="I111:J111"/>
    <mergeCell ref="K111:L111"/>
    <mergeCell ref="B112:D112"/>
    <mergeCell ref="I112:J112"/>
    <mergeCell ref="K112:L112"/>
    <mergeCell ref="B113:D113"/>
    <mergeCell ref="I113:J113"/>
    <mergeCell ref="K113:L113"/>
    <mergeCell ref="B114:D114"/>
    <mergeCell ref="I114:J114"/>
    <mergeCell ref="K114:L114"/>
    <mergeCell ref="A115:D115"/>
    <mergeCell ref="I115:J115"/>
    <mergeCell ref="K115:L115"/>
    <mergeCell ref="A116:D116"/>
    <mergeCell ref="I116:J116"/>
    <mergeCell ref="K116:L116"/>
    <mergeCell ref="B117:D117"/>
    <mergeCell ref="I117:J117"/>
    <mergeCell ref="K117:L117"/>
    <mergeCell ref="B118:D118"/>
    <mergeCell ref="I118:J118"/>
    <mergeCell ref="K118:L118"/>
    <mergeCell ref="A119:D119"/>
    <mergeCell ref="I119:J119"/>
    <mergeCell ref="K119:L119"/>
    <mergeCell ref="B120:D120"/>
    <mergeCell ref="I120:J120"/>
    <mergeCell ref="K120:L120"/>
    <mergeCell ref="B121:D121"/>
    <mergeCell ref="I121:J121"/>
    <mergeCell ref="K121:L121"/>
    <mergeCell ref="B122:D122"/>
    <mergeCell ref="I122:J122"/>
    <mergeCell ref="K122:L122"/>
    <mergeCell ref="A123:D123"/>
    <mergeCell ref="I123:J123"/>
    <mergeCell ref="K123:L123"/>
    <mergeCell ref="A124:D124"/>
    <mergeCell ref="I124:J124"/>
    <mergeCell ref="K124:L124"/>
    <mergeCell ref="B125:D125"/>
    <mergeCell ref="I125:J125"/>
    <mergeCell ref="K125:L125"/>
    <mergeCell ref="B126:D126"/>
    <mergeCell ref="I126:J126"/>
    <mergeCell ref="K126:L126"/>
    <mergeCell ref="B127:D127"/>
    <mergeCell ref="I127:J127"/>
    <mergeCell ref="K127:L127"/>
    <mergeCell ref="A128:D128"/>
    <mergeCell ref="I128:J128"/>
    <mergeCell ref="K128:L128"/>
    <mergeCell ref="A129:D129"/>
    <mergeCell ref="I129:J129"/>
    <mergeCell ref="K129:L129"/>
    <mergeCell ref="B130:D130"/>
    <mergeCell ref="I130:J130"/>
    <mergeCell ref="K130:L130"/>
    <mergeCell ref="B131:D131"/>
    <mergeCell ref="I131:J131"/>
    <mergeCell ref="K131:L131"/>
    <mergeCell ref="B132:D132"/>
    <mergeCell ref="I132:J132"/>
    <mergeCell ref="K132:L132"/>
    <mergeCell ref="A133:D133"/>
    <mergeCell ref="I133:J133"/>
    <mergeCell ref="K133:L133"/>
    <mergeCell ref="B134:D134"/>
    <mergeCell ref="I134:J134"/>
    <mergeCell ref="K134:L134"/>
    <mergeCell ref="A135:D135"/>
    <mergeCell ref="I135:J135"/>
    <mergeCell ref="K135:L135"/>
    <mergeCell ref="B136:D136"/>
    <mergeCell ref="I136:J136"/>
    <mergeCell ref="K136:L136"/>
    <mergeCell ref="A137:D137"/>
    <mergeCell ref="I137:J137"/>
    <mergeCell ref="K137:L137"/>
    <mergeCell ref="A138:D138"/>
    <mergeCell ref="I138:J138"/>
    <mergeCell ref="K138:L138"/>
    <mergeCell ref="B139:D139"/>
    <mergeCell ref="I139:J139"/>
    <mergeCell ref="K139:L139"/>
    <mergeCell ref="B140:D140"/>
    <mergeCell ref="I140:J140"/>
    <mergeCell ref="K140:L140"/>
    <mergeCell ref="B141:D141"/>
    <mergeCell ref="I141:J141"/>
    <mergeCell ref="K141:L141"/>
    <mergeCell ref="A142:D142"/>
    <mergeCell ref="I142:J142"/>
    <mergeCell ref="K142:L142"/>
    <mergeCell ref="A143:D143"/>
    <mergeCell ref="I143:J143"/>
    <mergeCell ref="K143:L143"/>
    <mergeCell ref="B144:D144"/>
    <mergeCell ref="I144:J144"/>
    <mergeCell ref="K144:L144"/>
    <mergeCell ref="B145:D145"/>
    <mergeCell ref="I145:J145"/>
    <mergeCell ref="K145:L145"/>
    <mergeCell ref="B146:D146"/>
    <mergeCell ref="I146:J146"/>
    <mergeCell ref="K146:L146"/>
    <mergeCell ref="A147:D147"/>
    <mergeCell ref="I147:J147"/>
    <mergeCell ref="K147:L147"/>
    <mergeCell ref="B148:D148"/>
    <mergeCell ref="I148:J148"/>
    <mergeCell ref="K148:L148"/>
    <mergeCell ref="A149:D149"/>
    <mergeCell ref="I149:J149"/>
    <mergeCell ref="K149:L149"/>
    <mergeCell ref="A150:D150"/>
    <mergeCell ref="I150:J150"/>
    <mergeCell ref="K150:L150"/>
    <mergeCell ref="B151:D151"/>
    <mergeCell ref="I151:J151"/>
    <mergeCell ref="K151:L151"/>
    <mergeCell ref="B152:D152"/>
    <mergeCell ref="I152:J152"/>
    <mergeCell ref="K152:L152"/>
    <mergeCell ref="B153:D153"/>
    <mergeCell ref="I153:J153"/>
    <mergeCell ref="K153:L153"/>
    <mergeCell ref="A154:D154"/>
    <mergeCell ref="I154:J154"/>
    <mergeCell ref="K154:L154"/>
    <mergeCell ref="A155:D155"/>
    <mergeCell ref="I155:J155"/>
    <mergeCell ref="K155:L155"/>
    <mergeCell ref="B156:D156"/>
    <mergeCell ref="I156:J156"/>
    <mergeCell ref="K156:L156"/>
    <mergeCell ref="B157:D157"/>
    <mergeCell ref="I157:J157"/>
    <mergeCell ref="K157:L157"/>
    <mergeCell ref="B158:D158"/>
    <mergeCell ref="I158:J158"/>
    <mergeCell ref="K158:L158"/>
    <mergeCell ref="A159:D159"/>
    <mergeCell ref="I159:J159"/>
    <mergeCell ref="K159:L159"/>
    <mergeCell ref="A160:D160"/>
    <mergeCell ref="I160:J160"/>
    <mergeCell ref="K160:L160"/>
    <mergeCell ref="B161:D161"/>
    <mergeCell ref="I161:J161"/>
    <mergeCell ref="K161:L161"/>
    <mergeCell ref="B162:D162"/>
    <mergeCell ref="I162:J162"/>
    <mergeCell ref="K162:L162"/>
    <mergeCell ref="A163:D163"/>
    <mergeCell ref="I163:J163"/>
    <mergeCell ref="K163:L163"/>
    <mergeCell ref="B164:D164"/>
    <mergeCell ref="I164:J164"/>
    <mergeCell ref="K164:L164"/>
    <mergeCell ref="B165:D165"/>
    <mergeCell ref="I165:J165"/>
    <mergeCell ref="K165:L165"/>
    <mergeCell ref="B166:D166"/>
    <mergeCell ref="I166:J166"/>
    <mergeCell ref="K166:L166"/>
    <mergeCell ref="A167:D167"/>
    <mergeCell ref="I167:J167"/>
    <mergeCell ref="K167:L167"/>
    <mergeCell ref="A168:D168"/>
    <mergeCell ref="I168:J168"/>
    <mergeCell ref="K168:L168"/>
    <mergeCell ref="B169:D169"/>
    <mergeCell ref="I169:J169"/>
    <mergeCell ref="K169:L169"/>
    <mergeCell ref="B170:D170"/>
    <mergeCell ref="I170:J170"/>
    <mergeCell ref="K170:L170"/>
    <mergeCell ref="A171:D171"/>
    <mergeCell ref="I171:J171"/>
    <mergeCell ref="K171:L171"/>
    <mergeCell ref="B172:D172"/>
    <mergeCell ref="I172:J172"/>
    <mergeCell ref="K172:L172"/>
    <mergeCell ref="B173:D173"/>
    <mergeCell ref="I173:J173"/>
    <mergeCell ref="K173:L173"/>
    <mergeCell ref="B174:D174"/>
    <mergeCell ref="I174:J174"/>
    <mergeCell ref="K174:L174"/>
    <mergeCell ref="A175:D175"/>
    <mergeCell ref="I175:J175"/>
    <mergeCell ref="K175:L175"/>
    <mergeCell ref="B176:D176"/>
    <mergeCell ref="I176:J176"/>
    <mergeCell ref="K176:L176"/>
    <mergeCell ref="A177:D177"/>
    <mergeCell ref="I177:J177"/>
    <mergeCell ref="K177:L177"/>
    <mergeCell ref="B178:D178"/>
    <mergeCell ref="I178:J178"/>
    <mergeCell ref="K178:L178"/>
    <mergeCell ref="A179:D179"/>
    <mergeCell ref="I179:J179"/>
    <mergeCell ref="K179:L179"/>
    <mergeCell ref="B180:D180"/>
    <mergeCell ref="I180:J180"/>
    <mergeCell ref="K180:L180"/>
    <mergeCell ref="A181:D181"/>
    <mergeCell ref="I181:J181"/>
    <mergeCell ref="K181:L181"/>
    <mergeCell ref="B182:D182"/>
    <mergeCell ref="I182:J182"/>
    <mergeCell ref="K182:L182"/>
    <mergeCell ref="A183:D183"/>
    <mergeCell ref="I183:J183"/>
    <mergeCell ref="K183:L183"/>
    <mergeCell ref="A184:D184"/>
    <mergeCell ref="I184:J184"/>
    <mergeCell ref="K184:L184"/>
    <mergeCell ref="B185:D185"/>
    <mergeCell ref="I185:J185"/>
    <mergeCell ref="K185:L185"/>
    <mergeCell ref="B186:D186"/>
    <mergeCell ref="I186:J186"/>
    <mergeCell ref="K186:L186"/>
    <mergeCell ref="B187:D187"/>
    <mergeCell ref="I187:J187"/>
    <mergeCell ref="K187:L187"/>
    <mergeCell ref="A188:D188"/>
    <mergeCell ref="I188:J188"/>
    <mergeCell ref="K188:L188"/>
    <mergeCell ref="B189:D189"/>
    <mergeCell ref="I189:J189"/>
    <mergeCell ref="K189:L189"/>
    <mergeCell ref="A190:D190"/>
    <mergeCell ref="I190:J190"/>
    <mergeCell ref="K190:L190"/>
    <mergeCell ref="B191:D191"/>
    <mergeCell ref="I191:J191"/>
    <mergeCell ref="K191:L191"/>
    <mergeCell ref="A192:D192"/>
    <mergeCell ref="I192:J192"/>
    <mergeCell ref="K192:L192"/>
    <mergeCell ref="A193:D193"/>
    <mergeCell ref="I193:J193"/>
    <mergeCell ref="K193:L193"/>
    <mergeCell ref="B194:D194"/>
    <mergeCell ref="I194:J194"/>
    <mergeCell ref="K194:L194"/>
    <mergeCell ref="B195:D195"/>
    <mergeCell ref="I195:J195"/>
    <mergeCell ref="K195:L195"/>
    <mergeCell ref="B196:D196"/>
    <mergeCell ref="I196:J196"/>
    <mergeCell ref="K196:L196"/>
    <mergeCell ref="A197:D197"/>
    <mergeCell ref="I197:J197"/>
    <mergeCell ref="K197:L197"/>
    <mergeCell ref="B198:D198"/>
    <mergeCell ref="I198:J198"/>
    <mergeCell ref="K198:L198"/>
    <mergeCell ref="A199:D199"/>
    <mergeCell ref="I199:J199"/>
    <mergeCell ref="K199:L199"/>
    <mergeCell ref="A200:D200"/>
    <mergeCell ref="I200:J200"/>
    <mergeCell ref="K200:L200"/>
    <mergeCell ref="B201:D201"/>
    <mergeCell ref="I201:J201"/>
    <mergeCell ref="K201:L201"/>
    <mergeCell ref="B202:D202"/>
    <mergeCell ref="I202:J202"/>
    <mergeCell ref="K202:L202"/>
    <mergeCell ref="B203:D203"/>
    <mergeCell ref="I203:J203"/>
    <mergeCell ref="K203:L203"/>
    <mergeCell ref="A204:D204"/>
    <mergeCell ref="I204:J204"/>
    <mergeCell ref="K204:L204"/>
    <mergeCell ref="A205:D205"/>
    <mergeCell ref="I205:J205"/>
    <mergeCell ref="K205:L205"/>
    <mergeCell ref="B206:D206"/>
    <mergeCell ref="I206:J206"/>
    <mergeCell ref="K206:L206"/>
    <mergeCell ref="B207:D207"/>
    <mergeCell ref="I207:J207"/>
    <mergeCell ref="K207:L207"/>
    <mergeCell ref="B208:D208"/>
    <mergeCell ref="I208:J208"/>
    <mergeCell ref="K208:L208"/>
    <mergeCell ref="A209:D209"/>
    <mergeCell ref="I209:J209"/>
    <mergeCell ref="K209:L209"/>
    <mergeCell ref="B210:D210"/>
    <mergeCell ref="I210:J210"/>
    <mergeCell ref="K210:L210"/>
    <mergeCell ref="A211:D211"/>
    <mergeCell ref="I211:J211"/>
    <mergeCell ref="K211:L211"/>
    <mergeCell ref="B212:D212"/>
    <mergeCell ref="I212:J212"/>
    <mergeCell ref="K212:L212"/>
    <mergeCell ref="A213:D213"/>
    <mergeCell ref="I213:J213"/>
    <mergeCell ref="K213:L213"/>
    <mergeCell ref="A214:D214"/>
    <mergeCell ref="I214:J214"/>
    <mergeCell ref="K214:L214"/>
    <mergeCell ref="B215:D215"/>
    <mergeCell ref="I215:J215"/>
    <mergeCell ref="K215:L215"/>
    <mergeCell ref="B216:D216"/>
    <mergeCell ref="I216:J216"/>
    <mergeCell ref="K216:L216"/>
    <mergeCell ref="B217:D217"/>
    <mergeCell ref="I217:J217"/>
    <mergeCell ref="K217:L217"/>
    <mergeCell ref="A218:D218"/>
    <mergeCell ref="I218:J218"/>
    <mergeCell ref="K218:L218"/>
    <mergeCell ref="A219:D219"/>
    <mergeCell ref="I219:J219"/>
    <mergeCell ref="K219:L219"/>
    <mergeCell ref="B220:D220"/>
    <mergeCell ref="I220:J220"/>
    <mergeCell ref="K220:L220"/>
    <mergeCell ref="B221:D221"/>
    <mergeCell ref="I221:J221"/>
    <mergeCell ref="K221:L221"/>
    <mergeCell ref="B222:D222"/>
    <mergeCell ref="I222:J222"/>
    <mergeCell ref="K222:L222"/>
    <mergeCell ref="A223:D223"/>
    <mergeCell ref="I223:J223"/>
    <mergeCell ref="K223:L223"/>
    <mergeCell ref="A224:D224"/>
    <mergeCell ref="I224:J224"/>
    <mergeCell ref="K224:L224"/>
    <mergeCell ref="B225:D225"/>
    <mergeCell ref="I225:J225"/>
    <mergeCell ref="K225:L225"/>
    <mergeCell ref="B226:D226"/>
    <mergeCell ref="I226:J226"/>
    <mergeCell ref="K226:L226"/>
    <mergeCell ref="B227:D227"/>
    <mergeCell ref="I227:J227"/>
    <mergeCell ref="K227:L227"/>
    <mergeCell ref="A228:D228"/>
    <mergeCell ref="I228:J228"/>
    <mergeCell ref="K228:L228"/>
    <mergeCell ref="B229:D229"/>
    <mergeCell ref="I229:J229"/>
    <mergeCell ref="K229:L229"/>
    <mergeCell ref="A230:D230"/>
    <mergeCell ref="I230:J230"/>
    <mergeCell ref="K230:L230"/>
    <mergeCell ref="A231:D231"/>
    <mergeCell ref="I231:J231"/>
    <mergeCell ref="K231:L231"/>
    <mergeCell ref="B232:D232"/>
    <mergeCell ref="I232:J232"/>
    <mergeCell ref="K232:L232"/>
    <mergeCell ref="B233:D233"/>
    <mergeCell ref="I233:J233"/>
    <mergeCell ref="K233:L233"/>
    <mergeCell ref="B234:D234"/>
    <mergeCell ref="I234:J234"/>
    <mergeCell ref="K234:L234"/>
    <mergeCell ref="A235:D235"/>
    <mergeCell ref="I235:J235"/>
    <mergeCell ref="K235:L235"/>
    <mergeCell ref="A236:D236"/>
    <mergeCell ref="I236:J236"/>
    <mergeCell ref="K236:L236"/>
    <mergeCell ref="B237:D237"/>
    <mergeCell ref="I237:J237"/>
    <mergeCell ref="K237:L237"/>
    <mergeCell ref="B238:D238"/>
    <mergeCell ref="I238:J238"/>
    <mergeCell ref="K238:L238"/>
    <mergeCell ref="B239:D239"/>
    <mergeCell ref="I239:J239"/>
    <mergeCell ref="K239:L239"/>
    <mergeCell ref="A240:D240"/>
    <mergeCell ref="I240:J240"/>
    <mergeCell ref="K240:L240"/>
    <mergeCell ref="A241:D241"/>
    <mergeCell ref="I241:J241"/>
    <mergeCell ref="K241:L241"/>
    <mergeCell ref="B242:D242"/>
    <mergeCell ref="I242:J242"/>
    <mergeCell ref="K242:L242"/>
    <mergeCell ref="B243:D243"/>
    <mergeCell ref="I243:J243"/>
    <mergeCell ref="K243:L243"/>
    <mergeCell ref="B244:D244"/>
    <mergeCell ref="I244:J244"/>
    <mergeCell ref="K244:L244"/>
    <mergeCell ref="A245:D245"/>
    <mergeCell ref="I245:J245"/>
    <mergeCell ref="K245:L245"/>
    <mergeCell ref="A246:D246"/>
    <mergeCell ref="I246:J246"/>
    <mergeCell ref="K246:L246"/>
    <mergeCell ref="B247:D247"/>
    <mergeCell ref="I247:J247"/>
    <mergeCell ref="K247:L247"/>
    <mergeCell ref="B248:D248"/>
    <mergeCell ref="I248:J248"/>
    <mergeCell ref="K248:L248"/>
    <mergeCell ref="B249:D249"/>
    <mergeCell ref="I249:J249"/>
    <mergeCell ref="K249:L249"/>
    <mergeCell ref="A250:D250"/>
    <mergeCell ref="I250:J250"/>
    <mergeCell ref="K250:L250"/>
    <mergeCell ref="B251:D251"/>
    <mergeCell ref="I251:J251"/>
    <mergeCell ref="K251:L251"/>
    <mergeCell ref="A252:D252"/>
    <mergeCell ref="I252:J252"/>
    <mergeCell ref="K252:L252"/>
    <mergeCell ref="B253:D253"/>
    <mergeCell ref="I253:J253"/>
    <mergeCell ref="K253:L253"/>
    <mergeCell ref="A254:D254"/>
    <mergeCell ref="I254:J254"/>
    <mergeCell ref="K254:L254"/>
    <mergeCell ref="A255:D255"/>
    <mergeCell ref="I255:J255"/>
    <mergeCell ref="K255:L255"/>
    <mergeCell ref="B256:D256"/>
    <mergeCell ref="I256:J256"/>
    <mergeCell ref="K256:L256"/>
    <mergeCell ref="B257:D257"/>
    <mergeCell ref="I257:J257"/>
    <mergeCell ref="K257:L257"/>
    <mergeCell ref="B258:D258"/>
    <mergeCell ref="I258:J258"/>
    <mergeCell ref="K258:L258"/>
    <mergeCell ref="A259:D259"/>
    <mergeCell ref="I259:J259"/>
    <mergeCell ref="K259:L259"/>
    <mergeCell ref="A260:D260"/>
    <mergeCell ref="I260:J260"/>
    <mergeCell ref="K260:L260"/>
    <mergeCell ref="B261:D261"/>
    <mergeCell ref="I261:J261"/>
    <mergeCell ref="K261:L261"/>
    <mergeCell ref="B262:D262"/>
    <mergeCell ref="I262:J262"/>
    <mergeCell ref="K262:L262"/>
    <mergeCell ref="B263:D263"/>
    <mergeCell ref="I263:J263"/>
    <mergeCell ref="K263:L263"/>
    <mergeCell ref="A264:D264"/>
    <mergeCell ref="I264:J264"/>
    <mergeCell ref="K264:L264"/>
    <mergeCell ref="A265:D265"/>
    <mergeCell ref="I265:J265"/>
    <mergeCell ref="K265:L265"/>
    <mergeCell ref="B266:D266"/>
    <mergeCell ref="I266:J266"/>
    <mergeCell ref="K266:L266"/>
    <mergeCell ref="B267:D267"/>
    <mergeCell ref="I267:J267"/>
    <mergeCell ref="K267:L267"/>
    <mergeCell ref="B268:D268"/>
    <mergeCell ref="I268:J268"/>
    <mergeCell ref="K268:L268"/>
    <mergeCell ref="A269:D269"/>
    <mergeCell ref="I269:J269"/>
    <mergeCell ref="K269:L269"/>
    <mergeCell ref="B270:D270"/>
    <mergeCell ref="I270:J270"/>
    <mergeCell ref="K270:L270"/>
    <mergeCell ref="A271:D271"/>
    <mergeCell ref="I271:J271"/>
    <mergeCell ref="K271:L271"/>
    <mergeCell ref="B272:D272"/>
    <mergeCell ref="I272:J272"/>
    <mergeCell ref="K272:L272"/>
    <mergeCell ref="A273:D273"/>
    <mergeCell ref="I273:J273"/>
    <mergeCell ref="K273:L273"/>
    <mergeCell ref="A274:D274"/>
    <mergeCell ref="I274:J274"/>
    <mergeCell ref="K274:L274"/>
    <mergeCell ref="B275:D275"/>
    <mergeCell ref="I275:J275"/>
    <mergeCell ref="K275:L275"/>
    <mergeCell ref="B276:D276"/>
    <mergeCell ref="I276:J276"/>
    <mergeCell ref="K276:L276"/>
    <mergeCell ref="A277:D277"/>
    <mergeCell ref="I277:J277"/>
    <mergeCell ref="K277:L277"/>
    <mergeCell ref="B278:D278"/>
    <mergeCell ref="I278:J278"/>
    <mergeCell ref="K278:L278"/>
    <mergeCell ref="B279:D279"/>
    <mergeCell ref="I279:J279"/>
    <mergeCell ref="K279:L279"/>
    <mergeCell ref="B280:D280"/>
    <mergeCell ref="I280:J280"/>
    <mergeCell ref="K280:L280"/>
    <mergeCell ref="A281:D281"/>
    <mergeCell ref="I281:J281"/>
    <mergeCell ref="K281:L281"/>
    <mergeCell ref="A282:D282"/>
    <mergeCell ref="I282:J282"/>
    <mergeCell ref="K282:L282"/>
    <mergeCell ref="B283:D283"/>
    <mergeCell ref="I283:J283"/>
    <mergeCell ref="K283:L283"/>
    <mergeCell ref="B284:D284"/>
    <mergeCell ref="I284:J284"/>
    <mergeCell ref="K284:L284"/>
    <mergeCell ref="B285:D285"/>
    <mergeCell ref="I285:J285"/>
    <mergeCell ref="K285:L285"/>
    <mergeCell ref="A286:D286"/>
    <mergeCell ref="I286:J286"/>
    <mergeCell ref="K286:L286"/>
    <mergeCell ref="B287:D287"/>
    <mergeCell ref="I287:J287"/>
    <mergeCell ref="K287:L287"/>
    <mergeCell ref="A288:D288"/>
    <mergeCell ref="I288:J288"/>
    <mergeCell ref="K288:L288"/>
    <mergeCell ref="B289:D289"/>
    <mergeCell ref="I289:J289"/>
    <mergeCell ref="K289:L289"/>
    <mergeCell ref="A290:D290"/>
    <mergeCell ref="I290:J290"/>
    <mergeCell ref="K290:L290"/>
    <mergeCell ref="B291:D291"/>
    <mergeCell ref="I291:J291"/>
    <mergeCell ref="K291:L291"/>
    <mergeCell ref="A292:D292"/>
    <mergeCell ref="I292:J292"/>
    <mergeCell ref="K292:L292"/>
    <mergeCell ref="B293:D293"/>
    <mergeCell ref="I293:J293"/>
    <mergeCell ref="K293:L293"/>
    <mergeCell ref="A294:D294"/>
    <mergeCell ref="I294:J294"/>
    <mergeCell ref="K294:L294"/>
    <mergeCell ref="B295:D295"/>
    <mergeCell ref="I295:J295"/>
    <mergeCell ref="K295:L295"/>
    <mergeCell ref="A296:D296"/>
    <mergeCell ref="I296:J296"/>
    <mergeCell ref="K296:L296"/>
    <mergeCell ref="B297:D297"/>
    <mergeCell ref="I297:J297"/>
    <mergeCell ref="K297:L297"/>
    <mergeCell ref="A298:D298"/>
    <mergeCell ref="I298:J298"/>
    <mergeCell ref="K298:L298"/>
    <mergeCell ref="A299:D299"/>
    <mergeCell ref="I299:J299"/>
    <mergeCell ref="K299:L299"/>
    <mergeCell ref="B300:D300"/>
    <mergeCell ref="I300:J300"/>
    <mergeCell ref="K300:L300"/>
    <mergeCell ref="B301:D301"/>
    <mergeCell ref="I301:J301"/>
    <mergeCell ref="K301:L301"/>
    <mergeCell ref="A302:D302"/>
    <mergeCell ref="I302:J302"/>
    <mergeCell ref="K302:L302"/>
    <mergeCell ref="B303:D303"/>
    <mergeCell ref="I303:J303"/>
    <mergeCell ref="K303:L303"/>
    <mergeCell ref="B304:D304"/>
    <mergeCell ref="I304:J304"/>
    <mergeCell ref="K304:L304"/>
    <mergeCell ref="B305:D305"/>
    <mergeCell ref="I305:J305"/>
    <mergeCell ref="K305:L305"/>
    <mergeCell ref="A306:D306"/>
    <mergeCell ref="I306:J306"/>
    <mergeCell ref="K306:L306"/>
    <mergeCell ref="B307:D307"/>
    <mergeCell ref="I307:J307"/>
    <mergeCell ref="K307:L307"/>
    <mergeCell ref="A308:D308"/>
    <mergeCell ref="I308:J308"/>
    <mergeCell ref="K308:L308"/>
    <mergeCell ref="A309:D309"/>
    <mergeCell ref="I309:J309"/>
    <mergeCell ref="K309:L309"/>
    <mergeCell ref="B310:D310"/>
    <mergeCell ref="I310:J310"/>
    <mergeCell ref="K310:L310"/>
    <mergeCell ref="B311:D311"/>
    <mergeCell ref="I311:J311"/>
    <mergeCell ref="K311:L311"/>
    <mergeCell ref="A312:D312"/>
    <mergeCell ref="I312:J312"/>
    <mergeCell ref="K312:L312"/>
    <mergeCell ref="B313:D313"/>
    <mergeCell ref="I313:J313"/>
    <mergeCell ref="K313:L313"/>
    <mergeCell ref="B314:D314"/>
    <mergeCell ref="I314:J314"/>
    <mergeCell ref="K314:L314"/>
    <mergeCell ref="B315:D315"/>
    <mergeCell ref="I315:J315"/>
    <mergeCell ref="K315:L315"/>
    <mergeCell ref="A316:D316"/>
    <mergeCell ref="I316:J316"/>
    <mergeCell ref="K316:L316"/>
    <mergeCell ref="A317:D317"/>
    <mergeCell ref="I317:J317"/>
    <mergeCell ref="K317:L317"/>
    <mergeCell ref="B318:D318"/>
    <mergeCell ref="I318:J318"/>
    <mergeCell ref="K318:L318"/>
    <mergeCell ref="B319:D319"/>
    <mergeCell ref="I319:J319"/>
    <mergeCell ref="K319:L319"/>
    <mergeCell ref="B320:D320"/>
    <mergeCell ref="I320:J320"/>
    <mergeCell ref="K320:L320"/>
    <mergeCell ref="A321:D321"/>
    <mergeCell ref="I321:J321"/>
    <mergeCell ref="K321:L321"/>
    <mergeCell ref="B322:D322"/>
    <mergeCell ref="I322:J322"/>
    <mergeCell ref="K322:L322"/>
    <mergeCell ref="A323:D323"/>
    <mergeCell ref="I323:J323"/>
    <mergeCell ref="K323:L323"/>
    <mergeCell ref="B324:D324"/>
    <mergeCell ref="I324:J324"/>
    <mergeCell ref="K324:L324"/>
    <mergeCell ref="A325:D325"/>
    <mergeCell ref="I325:J325"/>
    <mergeCell ref="K325:L325"/>
    <mergeCell ref="B326:D326"/>
    <mergeCell ref="I326:J326"/>
    <mergeCell ref="K326:L326"/>
    <mergeCell ref="A327:D327"/>
    <mergeCell ref="I327:J327"/>
    <mergeCell ref="K327:L327"/>
    <mergeCell ref="A328:D328"/>
    <mergeCell ref="I328:J328"/>
    <mergeCell ref="K328:L328"/>
    <mergeCell ref="B329:D329"/>
    <mergeCell ref="I329:J329"/>
    <mergeCell ref="K329:L329"/>
    <mergeCell ref="B330:D330"/>
    <mergeCell ref="I330:J330"/>
    <mergeCell ref="K330:L330"/>
    <mergeCell ref="A331:D331"/>
    <mergeCell ref="I331:J331"/>
    <mergeCell ref="K331:L331"/>
    <mergeCell ref="B332:D332"/>
    <mergeCell ref="I332:J332"/>
    <mergeCell ref="K332:L332"/>
    <mergeCell ref="B333:D333"/>
    <mergeCell ref="I333:J333"/>
    <mergeCell ref="K333:L333"/>
    <mergeCell ref="B334:D334"/>
    <mergeCell ref="I334:J334"/>
    <mergeCell ref="K334:L334"/>
    <mergeCell ref="A335:D335"/>
    <mergeCell ref="I335:J335"/>
    <mergeCell ref="K335:L335"/>
    <mergeCell ref="A336:D336"/>
    <mergeCell ref="I336:J336"/>
    <mergeCell ref="K336:L336"/>
    <mergeCell ref="B337:D337"/>
    <mergeCell ref="I337:J337"/>
    <mergeCell ref="K337:L337"/>
    <mergeCell ref="B338:D338"/>
    <mergeCell ref="I338:J338"/>
    <mergeCell ref="K338:L338"/>
    <mergeCell ref="B339:D339"/>
    <mergeCell ref="I339:J339"/>
    <mergeCell ref="K339:L339"/>
    <mergeCell ref="A340:D340"/>
    <mergeCell ref="I340:J340"/>
    <mergeCell ref="K340:L340"/>
    <mergeCell ref="A341:D341"/>
    <mergeCell ref="I341:J341"/>
    <mergeCell ref="K341:L341"/>
    <mergeCell ref="B342:D342"/>
    <mergeCell ref="I342:J342"/>
    <mergeCell ref="K342:L342"/>
    <mergeCell ref="B343:D343"/>
    <mergeCell ref="I343:J343"/>
    <mergeCell ref="K343:L343"/>
    <mergeCell ref="B344:D344"/>
    <mergeCell ref="I344:J344"/>
    <mergeCell ref="K344:L344"/>
    <mergeCell ref="A345:D345"/>
    <mergeCell ref="I345:J345"/>
    <mergeCell ref="K345:L345"/>
    <mergeCell ref="B346:D346"/>
    <mergeCell ref="I346:J346"/>
    <mergeCell ref="K346:L346"/>
    <mergeCell ref="A347:D347"/>
    <mergeCell ref="I347:J347"/>
    <mergeCell ref="K347:L347"/>
    <mergeCell ref="A348:D348"/>
    <mergeCell ref="I348:J348"/>
    <mergeCell ref="K348:L348"/>
    <mergeCell ref="B349:D349"/>
    <mergeCell ref="I349:J349"/>
    <mergeCell ref="K349:L349"/>
    <mergeCell ref="B350:D350"/>
    <mergeCell ref="I350:J350"/>
    <mergeCell ref="K350:L350"/>
    <mergeCell ref="A351:D351"/>
    <mergeCell ref="I351:J351"/>
    <mergeCell ref="K351:L351"/>
    <mergeCell ref="B352:D352"/>
    <mergeCell ref="I352:J352"/>
    <mergeCell ref="K352:L352"/>
    <mergeCell ref="B353:D353"/>
    <mergeCell ref="I353:J353"/>
    <mergeCell ref="K353:L353"/>
    <mergeCell ref="B354:D354"/>
    <mergeCell ref="I354:J354"/>
    <mergeCell ref="K354:L354"/>
    <mergeCell ref="A355:D355"/>
    <mergeCell ref="I355:J355"/>
    <mergeCell ref="K355:L355"/>
    <mergeCell ref="A356:D356"/>
    <mergeCell ref="I356:J356"/>
    <mergeCell ref="K356:L356"/>
    <mergeCell ref="B357:D357"/>
    <mergeCell ref="I357:J357"/>
    <mergeCell ref="K357:L357"/>
    <mergeCell ref="B358:D358"/>
    <mergeCell ref="I358:J358"/>
    <mergeCell ref="K358:L358"/>
    <mergeCell ref="A359:D359"/>
    <mergeCell ref="I359:J359"/>
    <mergeCell ref="K359:L359"/>
    <mergeCell ref="B360:D360"/>
    <mergeCell ref="I360:J360"/>
    <mergeCell ref="K360:L360"/>
    <mergeCell ref="B361:D361"/>
    <mergeCell ref="I361:J361"/>
    <mergeCell ref="K361:L361"/>
    <mergeCell ref="B362:D362"/>
    <mergeCell ref="I362:J362"/>
    <mergeCell ref="K362:L362"/>
    <mergeCell ref="A363:D363"/>
    <mergeCell ref="I363:J363"/>
    <mergeCell ref="K363:L363"/>
    <mergeCell ref="A364:D364"/>
    <mergeCell ref="I364:J364"/>
    <mergeCell ref="K364:L364"/>
    <mergeCell ref="B365:D365"/>
    <mergeCell ref="I365:J365"/>
    <mergeCell ref="K365:L365"/>
    <mergeCell ref="B366:D366"/>
    <mergeCell ref="I366:J366"/>
    <mergeCell ref="K366:L366"/>
    <mergeCell ref="B367:D367"/>
    <mergeCell ref="I367:J367"/>
    <mergeCell ref="K367:L367"/>
    <mergeCell ref="A368:D368"/>
    <mergeCell ref="I368:J368"/>
    <mergeCell ref="K368:L368"/>
    <mergeCell ref="A369:D369"/>
    <mergeCell ref="I369:J369"/>
    <mergeCell ref="K369:L369"/>
    <mergeCell ref="B370:D370"/>
    <mergeCell ref="I370:J370"/>
    <mergeCell ref="K370:L370"/>
    <mergeCell ref="B371:D371"/>
    <mergeCell ref="I371:J371"/>
    <mergeCell ref="K371:L371"/>
    <mergeCell ref="B372:D372"/>
    <mergeCell ref="I372:J372"/>
    <mergeCell ref="K372:L372"/>
    <mergeCell ref="A373:D373"/>
    <mergeCell ref="I373:J373"/>
    <mergeCell ref="K373:L373"/>
    <mergeCell ref="B374:D374"/>
    <mergeCell ref="I374:J374"/>
    <mergeCell ref="K374:L374"/>
    <mergeCell ref="A375:D375"/>
    <mergeCell ref="I375:J375"/>
    <mergeCell ref="K375:L375"/>
    <mergeCell ref="A376:D376"/>
    <mergeCell ref="I376:J376"/>
    <mergeCell ref="K376:L376"/>
    <mergeCell ref="B377:D377"/>
    <mergeCell ref="I377:J377"/>
    <mergeCell ref="K377:L377"/>
    <mergeCell ref="B378:D378"/>
    <mergeCell ref="I378:J378"/>
    <mergeCell ref="K378:L378"/>
    <mergeCell ref="B379:D379"/>
    <mergeCell ref="I379:J379"/>
    <mergeCell ref="K379:L379"/>
    <mergeCell ref="A380:D380"/>
    <mergeCell ref="I380:J380"/>
    <mergeCell ref="K380:L380"/>
    <mergeCell ref="A381:D381"/>
    <mergeCell ref="I381:J381"/>
    <mergeCell ref="K381:L381"/>
    <mergeCell ref="B382:D382"/>
    <mergeCell ref="I382:J382"/>
    <mergeCell ref="K382:L382"/>
    <mergeCell ref="B383:D383"/>
    <mergeCell ref="I383:J383"/>
    <mergeCell ref="K383:L383"/>
    <mergeCell ref="B384:D384"/>
    <mergeCell ref="I384:J384"/>
    <mergeCell ref="K384:L384"/>
    <mergeCell ref="A385:D385"/>
    <mergeCell ref="I385:J385"/>
    <mergeCell ref="K385:L385"/>
    <mergeCell ref="A386:D386"/>
    <mergeCell ref="I386:J386"/>
    <mergeCell ref="K386:L386"/>
    <mergeCell ref="B387:D387"/>
    <mergeCell ref="I387:J387"/>
    <mergeCell ref="K387:L387"/>
    <mergeCell ref="B388:D388"/>
    <mergeCell ref="I388:J388"/>
    <mergeCell ref="K388:L388"/>
    <mergeCell ref="B389:D389"/>
    <mergeCell ref="I389:J389"/>
    <mergeCell ref="K389:L389"/>
    <mergeCell ref="A390:D390"/>
    <mergeCell ref="I390:J390"/>
    <mergeCell ref="K390:L390"/>
    <mergeCell ref="B391:D391"/>
    <mergeCell ref="I391:J391"/>
    <mergeCell ref="K391:L391"/>
    <mergeCell ref="A392:D392"/>
    <mergeCell ref="I392:J392"/>
    <mergeCell ref="K392:L392"/>
    <mergeCell ref="B393:D393"/>
    <mergeCell ref="I393:J393"/>
    <mergeCell ref="K393:L393"/>
    <mergeCell ref="A394:D394"/>
    <mergeCell ref="I394:J394"/>
    <mergeCell ref="K394:L394"/>
    <mergeCell ref="A395:D395"/>
    <mergeCell ref="I395:J395"/>
    <mergeCell ref="K395:L395"/>
    <mergeCell ref="B396:D396"/>
    <mergeCell ref="I396:J396"/>
    <mergeCell ref="K396:L396"/>
    <mergeCell ref="B397:D397"/>
    <mergeCell ref="I397:J397"/>
    <mergeCell ref="K397:L397"/>
    <mergeCell ref="B398:D398"/>
    <mergeCell ref="I398:J398"/>
    <mergeCell ref="K398:L398"/>
    <mergeCell ref="A399:D399"/>
    <mergeCell ref="I399:J399"/>
    <mergeCell ref="K399:L399"/>
    <mergeCell ref="B400:D400"/>
    <mergeCell ref="I400:J400"/>
    <mergeCell ref="K400:L400"/>
    <mergeCell ref="A401:D401"/>
    <mergeCell ref="I401:J401"/>
    <mergeCell ref="K401:L401"/>
    <mergeCell ref="A402:D402"/>
    <mergeCell ref="I402:J402"/>
    <mergeCell ref="K402:L402"/>
    <mergeCell ref="B403:D403"/>
    <mergeCell ref="I403:J403"/>
    <mergeCell ref="K403:L403"/>
    <mergeCell ref="B404:D404"/>
    <mergeCell ref="I404:J404"/>
    <mergeCell ref="K404:L404"/>
    <mergeCell ref="B405:D405"/>
    <mergeCell ref="I405:J405"/>
    <mergeCell ref="K405:L405"/>
    <mergeCell ref="A406:D406"/>
    <mergeCell ref="I406:J406"/>
    <mergeCell ref="K406:L406"/>
    <mergeCell ref="A407:D407"/>
    <mergeCell ref="I407:J407"/>
    <mergeCell ref="K407:L407"/>
    <mergeCell ref="B408:D408"/>
    <mergeCell ref="I408:J408"/>
    <mergeCell ref="K408:L408"/>
    <mergeCell ref="B409:D409"/>
    <mergeCell ref="I409:J409"/>
    <mergeCell ref="K409:L409"/>
    <mergeCell ref="A410:D410"/>
    <mergeCell ref="I410:J410"/>
    <mergeCell ref="K410:L410"/>
    <mergeCell ref="B411:D411"/>
    <mergeCell ref="I411:J411"/>
    <mergeCell ref="K411:L411"/>
    <mergeCell ref="B412:D412"/>
    <mergeCell ref="I412:J412"/>
    <mergeCell ref="K412:L412"/>
    <mergeCell ref="B413:D413"/>
    <mergeCell ref="I413:J413"/>
    <mergeCell ref="K413:L413"/>
    <mergeCell ref="A414:D414"/>
    <mergeCell ref="I414:J414"/>
    <mergeCell ref="K414:L414"/>
    <mergeCell ref="A415:D415"/>
    <mergeCell ref="I415:J415"/>
    <mergeCell ref="K415:L415"/>
    <mergeCell ref="B416:D416"/>
    <mergeCell ref="I416:J416"/>
    <mergeCell ref="K416:L416"/>
    <mergeCell ref="B417:D417"/>
    <mergeCell ref="I417:J417"/>
    <mergeCell ref="K417:L417"/>
    <mergeCell ref="B418:D418"/>
    <mergeCell ref="I418:J418"/>
    <mergeCell ref="K418:L418"/>
    <mergeCell ref="A419:D419"/>
    <mergeCell ref="I419:J419"/>
    <mergeCell ref="K419:L419"/>
    <mergeCell ref="B420:D420"/>
    <mergeCell ref="I420:J420"/>
    <mergeCell ref="K420:L420"/>
    <mergeCell ref="A421:D421"/>
    <mergeCell ref="I421:J421"/>
    <mergeCell ref="K421:L421"/>
    <mergeCell ref="B422:D422"/>
    <mergeCell ref="I422:J422"/>
    <mergeCell ref="K422:L422"/>
    <mergeCell ref="A423:D423"/>
    <mergeCell ref="I423:J423"/>
    <mergeCell ref="K423:L423"/>
    <mergeCell ref="A424:D424"/>
    <mergeCell ref="I424:J424"/>
    <mergeCell ref="K424:L424"/>
    <mergeCell ref="B425:D425"/>
    <mergeCell ref="I425:J425"/>
    <mergeCell ref="K425:L425"/>
    <mergeCell ref="B426:D426"/>
    <mergeCell ref="I426:J426"/>
    <mergeCell ref="K426:L426"/>
    <mergeCell ref="B427:D427"/>
    <mergeCell ref="I427:J427"/>
    <mergeCell ref="K427:L427"/>
    <mergeCell ref="A428:D428"/>
    <mergeCell ref="I428:J428"/>
    <mergeCell ref="K428:L428"/>
    <mergeCell ref="A429:D429"/>
    <mergeCell ref="I429:J429"/>
    <mergeCell ref="K429:L429"/>
    <mergeCell ref="B430:D430"/>
    <mergeCell ref="I430:J430"/>
    <mergeCell ref="K430:L430"/>
    <mergeCell ref="B431:D431"/>
    <mergeCell ref="I431:J431"/>
    <mergeCell ref="K431:L431"/>
    <mergeCell ref="B432:D432"/>
    <mergeCell ref="I432:J432"/>
    <mergeCell ref="K432:L432"/>
    <mergeCell ref="A433:D433"/>
    <mergeCell ref="I433:J433"/>
    <mergeCell ref="K433:L433"/>
    <mergeCell ref="A434:D434"/>
    <mergeCell ref="I434:J434"/>
    <mergeCell ref="K434:L434"/>
    <mergeCell ref="B435:D435"/>
    <mergeCell ref="I435:J435"/>
    <mergeCell ref="K435:L435"/>
    <mergeCell ref="B436:D436"/>
    <mergeCell ref="I436:J436"/>
    <mergeCell ref="K436:L436"/>
    <mergeCell ref="B437:D437"/>
    <mergeCell ref="I437:J437"/>
    <mergeCell ref="K437:L437"/>
    <mergeCell ref="A438:D438"/>
    <mergeCell ref="I438:J438"/>
    <mergeCell ref="K438:L438"/>
    <mergeCell ref="A439:D439"/>
    <mergeCell ref="I439:J439"/>
    <mergeCell ref="K439:L439"/>
    <mergeCell ref="B440:D440"/>
    <mergeCell ref="I440:J440"/>
    <mergeCell ref="K440:L440"/>
    <mergeCell ref="B441:D441"/>
    <mergeCell ref="I441:J441"/>
    <mergeCell ref="K441:L441"/>
    <mergeCell ref="B442:D442"/>
    <mergeCell ref="I442:J442"/>
    <mergeCell ref="K442:L442"/>
    <mergeCell ref="A443:D443"/>
    <mergeCell ref="I443:J443"/>
    <mergeCell ref="K443:L443"/>
    <mergeCell ref="B444:D444"/>
    <mergeCell ref="I444:J444"/>
    <mergeCell ref="K444:L444"/>
    <mergeCell ref="A445:D445"/>
    <mergeCell ref="I445:J445"/>
    <mergeCell ref="K445:L445"/>
    <mergeCell ref="B446:D446"/>
    <mergeCell ref="I446:J446"/>
    <mergeCell ref="K446:L446"/>
    <mergeCell ref="A447:D447"/>
    <mergeCell ref="I447:J447"/>
    <mergeCell ref="K447:L447"/>
    <mergeCell ref="A448:D448"/>
    <mergeCell ref="I448:J448"/>
    <mergeCell ref="K448:L448"/>
    <mergeCell ref="B449:D449"/>
    <mergeCell ref="I449:J449"/>
    <mergeCell ref="K449:L449"/>
    <mergeCell ref="B450:D450"/>
    <mergeCell ref="I450:J450"/>
    <mergeCell ref="K450:L450"/>
    <mergeCell ref="B451:D451"/>
    <mergeCell ref="I451:J451"/>
    <mergeCell ref="K451:L451"/>
    <mergeCell ref="A452:D452"/>
    <mergeCell ref="I452:J452"/>
    <mergeCell ref="K452:L452"/>
    <mergeCell ref="A453:D453"/>
    <mergeCell ref="I453:J453"/>
    <mergeCell ref="K453:L453"/>
    <mergeCell ref="B454:D454"/>
    <mergeCell ref="I454:J454"/>
    <mergeCell ref="K454:L454"/>
    <mergeCell ref="B455:D455"/>
    <mergeCell ref="I455:J455"/>
    <mergeCell ref="K455:L455"/>
    <mergeCell ref="A456:D456"/>
    <mergeCell ref="I456:J456"/>
    <mergeCell ref="K456:L456"/>
    <mergeCell ref="B457:D457"/>
    <mergeCell ref="I457:J457"/>
    <mergeCell ref="K457:L457"/>
    <mergeCell ref="B458:D458"/>
    <mergeCell ref="I458:J458"/>
    <mergeCell ref="K458:L458"/>
    <mergeCell ref="B459:D459"/>
    <mergeCell ref="I459:J459"/>
    <mergeCell ref="K459:L459"/>
    <mergeCell ref="A460:D460"/>
    <mergeCell ref="I460:J460"/>
    <mergeCell ref="K460:L460"/>
    <mergeCell ref="A461:D461"/>
    <mergeCell ref="I461:J461"/>
    <mergeCell ref="K461:L461"/>
    <mergeCell ref="B462:D462"/>
    <mergeCell ref="I462:J462"/>
    <mergeCell ref="K462:L462"/>
    <mergeCell ref="B463:D463"/>
    <mergeCell ref="I463:J463"/>
    <mergeCell ref="K463:L463"/>
    <mergeCell ref="B464:D464"/>
    <mergeCell ref="I464:J464"/>
    <mergeCell ref="K464:L464"/>
    <mergeCell ref="A465:D465"/>
    <mergeCell ref="I465:J465"/>
    <mergeCell ref="K465:L465"/>
    <mergeCell ref="B466:D466"/>
    <mergeCell ref="I466:J466"/>
    <mergeCell ref="K466:L466"/>
    <mergeCell ref="A467:D467"/>
    <mergeCell ref="I467:J467"/>
    <mergeCell ref="K467:L467"/>
    <mergeCell ref="B468:D468"/>
    <mergeCell ref="I468:J468"/>
    <mergeCell ref="K468:L468"/>
    <mergeCell ref="A469:D469"/>
    <mergeCell ref="I469:J469"/>
    <mergeCell ref="K469:L469"/>
    <mergeCell ref="A470:D470"/>
    <mergeCell ref="I470:J470"/>
    <mergeCell ref="K470:L470"/>
    <mergeCell ref="B471:D471"/>
    <mergeCell ref="I471:J471"/>
    <mergeCell ref="K471:L471"/>
    <mergeCell ref="B472:D472"/>
    <mergeCell ref="I472:J472"/>
    <mergeCell ref="K472:L472"/>
    <mergeCell ref="B473:D473"/>
    <mergeCell ref="I473:J473"/>
    <mergeCell ref="K473:L473"/>
    <mergeCell ref="A474:D474"/>
    <mergeCell ref="I474:J474"/>
    <mergeCell ref="K474:L474"/>
    <mergeCell ref="A475:D475"/>
    <mergeCell ref="I475:J475"/>
    <mergeCell ref="K475:L475"/>
    <mergeCell ref="B476:D476"/>
    <mergeCell ref="I476:J476"/>
    <mergeCell ref="K476:L476"/>
    <mergeCell ref="B477:D477"/>
    <mergeCell ref="I477:J477"/>
    <mergeCell ref="K477:L477"/>
    <mergeCell ref="B478:D478"/>
    <mergeCell ref="I478:J478"/>
    <mergeCell ref="K478:L478"/>
    <mergeCell ref="A479:D479"/>
    <mergeCell ref="I479:J479"/>
    <mergeCell ref="K479:L479"/>
    <mergeCell ref="B480:D480"/>
    <mergeCell ref="I480:J480"/>
    <mergeCell ref="K480:L480"/>
    <mergeCell ref="A481:D481"/>
    <mergeCell ref="I481:J481"/>
    <mergeCell ref="K481:L481"/>
    <mergeCell ref="A482:D482"/>
    <mergeCell ref="I482:J482"/>
    <mergeCell ref="K482:L482"/>
    <mergeCell ref="B483:D483"/>
    <mergeCell ref="I483:J483"/>
    <mergeCell ref="K483:L483"/>
    <mergeCell ref="B484:D484"/>
    <mergeCell ref="I484:J484"/>
    <mergeCell ref="K484:L484"/>
    <mergeCell ref="B485:D485"/>
    <mergeCell ref="I485:J485"/>
    <mergeCell ref="K485:L485"/>
    <mergeCell ref="A486:D486"/>
    <mergeCell ref="I486:J486"/>
    <mergeCell ref="K486:L486"/>
    <mergeCell ref="A487:D487"/>
    <mergeCell ref="I487:J487"/>
    <mergeCell ref="K487:L487"/>
    <mergeCell ref="B488:D488"/>
    <mergeCell ref="I488:J488"/>
    <mergeCell ref="K488:L488"/>
    <mergeCell ref="B489:D489"/>
    <mergeCell ref="I489:J489"/>
    <mergeCell ref="K489:L489"/>
    <mergeCell ref="B490:D490"/>
    <mergeCell ref="I490:J490"/>
    <mergeCell ref="K490:L490"/>
    <mergeCell ref="A491:D491"/>
    <mergeCell ref="I491:J491"/>
    <mergeCell ref="K491:L491"/>
    <mergeCell ref="A492:D492"/>
    <mergeCell ref="I492:J492"/>
    <mergeCell ref="K492:L492"/>
    <mergeCell ref="B493:D493"/>
    <mergeCell ref="I493:J493"/>
    <mergeCell ref="K493:L493"/>
    <mergeCell ref="B494:D494"/>
    <mergeCell ref="I494:J494"/>
    <mergeCell ref="K494:L494"/>
    <mergeCell ref="A495:D495"/>
    <mergeCell ref="I495:J495"/>
    <mergeCell ref="K495:L495"/>
    <mergeCell ref="B496:D496"/>
    <mergeCell ref="I496:J496"/>
    <mergeCell ref="K496:L496"/>
    <mergeCell ref="B497:D497"/>
    <mergeCell ref="I497:J497"/>
    <mergeCell ref="K497:L497"/>
    <mergeCell ref="B498:D498"/>
    <mergeCell ref="I498:J498"/>
    <mergeCell ref="K498:L498"/>
    <mergeCell ref="A499:D499"/>
    <mergeCell ref="I499:J499"/>
    <mergeCell ref="K499:L499"/>
    <mergeCell ref="A500:D500"/>
    <mergeCell ref="I500:J500"/>
    <mergeCell ref="K500:L500"/>
    <mergeCell ref="B501:D501"/>
    <mergeCell ref="I501:J501"/>
    <mergeCell ref="K501:L501"/>
    <mergeCell ref="B502:D502"/>
    <mergeCell ref="I502:J502"/>
    <mergeCell ref="K502:L502"/>
    <mergeCell ref="B503:D503"/>
    <mergeCell ref="I503:J503"/>
    <mergeCell ref="K503:L503"/>
    <mergeCell ref="A504:D504"/>
    <mergeCell ref="I504:J504"/>
    <mergeCell ref="K504:L504"/>
    <mergeCell ref="A505:D505"/>
    <mergeCell ref="I505:J505"/>
    <mergeCell ref="K505:L505"/>
    <mergeCell ref="B506:D506"/>
    <mergeCell ref="I506:J506"/>
    <mergeCell ref="K506:L506"/>
    <mergeCell ref="B507:D507"/>
    <mergeCell ref="I507:J507"/>
    <mergeCell ref="K507:L507"/>
    <mergeCell ref="B508:D508"/>
    <mergeCell ref="I508:J508"/>
    <mergeCell ref="K508:L508"/>
    <mergeCell ref="A509:D509"/>
    <mergeCell ref="I509:J509"/>
    <mergeCell ref="K509:L509"/>
    <mergeCell ref="B510:D510"/>
    <mergeCell ref="I510:J510"/>
    <mergeCell ref="K510:L510"/>
    <mergeCell ref="A511:D511"/>
    <mergeCell ref="I511:J511"/>
    <mergeCell ref="K511:L511"/>
    <mergeCell ref="A512:D512"/>
    <mergeCell ref="I512:J512"/>
    <mergeCell ref="K512:L512"/>
    <mergeCell ref="B513:D513"/>
    <mergeCell ref="I513:J513"/>
    <mergeCell ref="K513:L513"/>
    <mergeCell ref="B514:D514"/>
    <mergeCell ref="I514:J514"/>
    <mergeCell ref="K514:L514"/>
    <mergeCell ref="B515:D515"/>
    <mergeCell ref="I515:J515"/>
    <mergeCell ref="K515:L515"/>
    <mergeCell ref="A516:D516"/>
    <mergeCell ref="I516:J516"/>
    <mergeCell ref="K516:L516"/>
    <mergeCell ref="A517:D517"/>
    <mergeCell ref="I517:J517"/>
    <mergeCell ref="K517:L517"/>
    <mergeCell ref="B518:D518"/>
    <mergeCell ref="I518:J518"/>
    <mergeCell ref="K518:L518"/>
    <mergeCell ref="B519:D519"/>
    <mergeCell ref="I519:J519"/>
    <mergeCell ref="K519:L519"/>
    <mergeCell ref="B520:D520"/>
    <mergeCell ref="I520:J520"/>
    <mergeCell ref="K520:L520"/>
    <mergeCell ref="A521:D521"/>
    <mergeCell ref="I521:J521"/>
    <mergeCell ref="K521:L521"/>
    <mergeCell ref="A522:D522"/>
    <mergeCell ref="I522:J522"/>
    <mergeCell ref="K522:L522"/>
    <mergeCell ref="B523:D523"/>
    <mergeCell ref="I523:J523"/>
    <mergeCell ref="K523:L523"/>
    <mergeCell ref="B524:D524"/>
    <mergeCell ref="I524:J524"/>
    <mergeCell ref="K524:L524"/>
    <mergeCell ref="A525:D525"/>
    <mergeCell ref="I525:J525"/>
    <mergeCell ref="K525:L525"/>
    <mergeCell ref="B526:D526"/>
    <mergeCell ref="I526:J526"/>
    <mergeCell ref="K526:L526"/>
    <mergeCell ref="B527:D527"/>
    <mergeCell ref="I527:J527"/>
    <mergeCell ref="K527:L527"/>
    <mergeCell ref="B528:D528"/>
    <mergeCell ref="I528:J528"/>
    <mergeCell ref="K528:L528"/>
    <mergeCell ref="A529:D529"/>
    <mergeCell ref="I529:J529"/>
    <mergeCell ref="K529:L529"/>
    <mergeCell ref="A530:D530"/>
    <mergeCell ref="I530:J530"/>
    <mergeCell ref="K530:L530"/>
    <mergeCell ref="B531:D531"/>
    <mergeCell ref="I531:J531"/>
    <mergeCell ref="K531:L531"/>
    <mergeCell ref="B532:D532"/>
    <mergeCell ref="I532:J532"/>
    <mergeCell ref="K532:L532"/>
    <mergeCell ref="B533:D533"/>
    <mergeCell ref="I533:J533"/>
    <mergeCell ref="K533:L533"/>
    <mergeCell ref="A534:D534"/>
    <mergeCell ref="I534:J534"/>
    <mergeCell ref="K534:L534"/>
    <mergeCell ref="B535:D535"/>
    <mergeCell ref="I535:J535"/>
    <mergeCell ref="K535:L535"/>
    <mergeCell ref="A536:D536"/>
    <mergeCell ref="I536:J536"/>
    <mergeCell ref="K536:L536"/>
    <mergeCell ref="B537:D537"/>
    <mergeCell ref="I537:J537"/>
    <mergeCell ref="K537:L537"/>
    <mergeCell ref="A538:D538"/>
    <mergeCell ref="I538:J538"/>
    <mergeCell ref="K538:L538"/>
    <mergeCell ref="A539:D539"/>
    <mergeCell ref="I539:J539"/>
    <mergeCell ref="K539:L539"/>
    <mergeCell ref="B540:D540"/>
    <mergeCell ref="I540:J540"/>
    <mergeCell ref="K540:L540"/>
    <mergeCell ref="B541:D541"/>
    <mergeCell ref="I541:J541"/>
    <mergeCell ref="K541:L541"/>
    <mergeCell ref="B542:D542"/>
    <mergeCell ref="I542:J542"/>
    <mergeCell ref="K542:L542"/>
    <mergeCell ref="A543:D543"/>
    <mergeCell ref="I543:J543"/>
    <mergeCell ref="K543:L543"/>
    <mergeCell ref="A544:D544"/>
    <mergeCell ref="I544:J544"/>
    <mergeCell ref="K544:L544"/>
    <mergeCell ref="B545:D545"/>
    <mergeCell ref="I545:J545"/>
    <mergeCell ref="K545:L545"/>
    <mergeCell ref="B546:D546"/>
    <mergeCell ref="I546:J546"/>
    <mergeCell ref="K546:L546"/>
    <mergeCell ref="B547:D547"/>
    <mergeCell ref="I547:J547"/>
    <mergeCell ref="K547:L547"/>
    <mergeCell ref="A548:D548"/>
    <mergeCell ref="I548:J548"/>
    <mergeCell ref="K548:L548"/>
    <mergeCell ref="A549:D549"/>
    <mergeCell ref="I549:J549"/>
    <mergeCell ref="K549:L549"/>
    <mergeCell ref="B550:D550"/>
    <mergeCell ref="I550:J550"/>
    <mergeCell ref="K550:L550"/>
    <mergeCell ref="B551:D551"/>
    <mergeCell ref="I551:J551"/>
    <mergeCell ref="K551:L551"/>
    <mergeCell ref="B552:D552"/>
    <mergeCell ref="I552:J552"/>
    <mergeCell ref="K552:L552"/>
    <mergeCell ref="A553:D553"/>
    <mergeCell ref="I553:J553"/>
    <mergeCell ref="K553:L553"/>
    <mergeCell ref="A554:D554"/>
    <mergeCell ref="I554:J554"/>
    <mergeCell ref="K554:L554"/>
    <mergeCell ref="B555:D555"/>
    <mergeCell ref="I555:J555"/>
    <mergeCell ref="K555:L555"/>
    <mergeCell ref="B556:D556"/>
    <mergeCell ref="I556:J556"/>
    <mergeCell ref="K556:L556"/>
    <mergeCell ref="B557:D557"/>
    <mergeCell ref="I557:J557"/>
    <mergeCell ref="K557:L557"/>
    <mergeCell ref="A558:D558"/>
    <mergeCell ref="I558:J558"/>
    <mergeCell ref="K558:L558"/>
    <mergeCell ref="A559:D559"/>
    <mergeCell ref="I559:J559"/>
    <mergeCell ref="K559:L559"/>
    <mergeCell ref="B560:D560"/>
    <mergeCell ref="I560:J560"/>
    <mergeCell ref="K560:L560"/>
    <mergeCell ref="B561:D561"/>
    <mergeCell ref="I561:J561"/>
    <mergeCell ref="K561:L561"/>
    <mergeCell ref="B562:D562"/>
    <mergeCell ref="I562:J562"/>
    <mergeCell ref="K562:L562"/>
    <mergeCell ref="A563:D563"/>
    <mergeCell ref="I563:J563"/>
    <mergeCell ref="K563:L563"/>
    <mergeCell ref="A564:D564"/>
    <mergeCell ref="I564:J564"/>
    <mergeCell ref="K564:L564"/>
    <mergeCell ref="B565:D565"/>
    <mergeCell ref="I565:J565"/>
    <mergeCell ref="K565:L565"/>
    <mergeCell ref="B566:D566"/>
    <mergeCell ref="I566:J566"/>
    <mergeCell ref="K566:L566"/>
    <mergeCell ref="B567:D567"/>
    <mergeCell ref="I567:J567"/>
    <mergeCell ref="K567:L567"/>
    <mergeCell ref="A568:D568"/>
    <mergeCell ref="I568:J568"/>
    <mergeCell ref="K568:L568"/>
    <mergeCell ref="A569:D569"/>
    <mergeCell ref="I569:J569"/>
    <mergeCell ref="K569:L569"/>
    <mergeCell ref="B570:D570"/>
    <mergeCell ref="I570:J570"/>
    <mergeCell ref="K570:L570"/>
    <mergeCell ref="B571:D571"/>
    <mergeCell ref="I571:J571"/>
    <mergeCell ref="K571:L571"/>
    <mergeCell ref="A572:D572"/>
    <mergeCell ref="I572:J572"/>
    <mergeCell ref="K572:L572"/>
    <mergeCell ref="B573:D573"/>
    <mergeCell ref="I573:J573"/>
    <mergeCell ref="K573:L573"/>
    <mergeCell ref="B574:D574"/>
    <mergeCell ref="I574:J574"/>
    <mergeCell ref="K574:L574"/>
    <mergeCell ref="B575:D575"/>
    <mergeCell ref="I575:J575"/>
    <mergeCell ref="K575:L575"/>
    <mergeCell ref="A576:D576"/>
    <mergeCell ref="I576:J576"/>
    <mergeCell ref="K576:L576"/>
    <mergeCell ref="A577:D577"/>
    <mergeCell ref="I577:J577"/>
    <mergeCell ref="K577:L577"/>
    <mergeCell ref="B578:D578"/>
    <mergeCell ref="I578:J578"/>
    <mergeCell ref="K578:L578"/>
    <mergeCell ref="B579:D579"/>
    <mergeCell ref="I579:J579"/>
    <mergeCell ref="K579:L579"/>
    <mergeCell ref="B580:D580"/>
    <mergeCell ref="I580:J580"/>
    <mergeCell ref="K580:L580"/>
    <mergeCell ref="A581:D581"/>
    <mergeCell ref="I581:J581"/>
    <mergeCell ref="K581:L581"/>
    <mergeCell ref="A582:D582"/>
    <mergeCell ref="I582:J582"/>
    <mergeCell ref="K582:L582"/>
    <mergeCell ref="B583:D583"/>
    <mergeCell ref="I583:J583"/>
    <mergeCell ref="K583:L583"/>
    <mergeCell ref="B584:D584"/>
    <mergeCell ref="I584:J584"/>
    <mergeCell ref="K584:L584"/>
    <mergeCell ref="B585:D585"/>
    <mergeCell ref="I585:J585"/>
    <mergeCell ref="K585:L585"/>
    <mergeCell ref="A586:D586"/>
    <mergeCell ref="I586:J586"/>
    <mergeCell ref="K586:L586"/>
    <mergeCell ref="B587:D587"/>
    <mergeCell ref="I587:J587"/>
    <mergeCell ref="K587:L587"/>
    <mergeCell ref="A588:D588"/>
    <mergeCell ref="I588:J588"/>
    <mergeCell ref="K588:L588"/>
    <mergeCell ref="B589:D589"/>
    <mergeCell ref="I589:J589"/>
    <mergeCell ref="K589:L589"/>
    <mergeCell ref="A590:D590"/>
    <mergeCell ref="I590:J590"/>
    <mergeCell ref="K590:L590"/>
    <mergeCell ref="B591:D591"/>
    <mergeCell ref="I591:J591"/>
    <mergeCell ref="K591:L591"/>
    <mergeCell ref="A592:D592"/>
    <mergeCell ref="I592:J592"/>
    <mergeCell ref="K592:L592"/>
    <mergeCell ref="B593:D593"/>
    <mergeCell ref="I593:J593"/>
    <mergeCell ref="K593:L593"/>
    <mergeCell ref="A594:D594"/>
    <mergeCell ref="I594:J594"/>
    <mergeCell ref="K594:L594"/>
    <mergeCell ref="A595:D595"/>
    <mergeCell ref="I595:J595"/>
    <mergeCell ref="K595:L595"/>
    <mergeCell ref="B596:D596"/>
    <mergeCell ref="I596:J596"/>
    <mergeCell ref="K596:L596"/>
    <mergeCell ref="B597:D597"/>
    <mergeCell ref="I597:J597"/>
    <mergeCell ref="K597:L597"/>
    <mergeCell ref="A598:D598"/>
    <mergeCell ref="I598:J598"/>
    <mergeCell ref="K598:L598"/>
    <mergeCell ref="B599:D599"/>
    <mergeCell ref="I599:J599"/>
    <mergeCell ref="K599:L599"/>
    <mergeCell ref="B600:D600"/>
    <mergeCell ref="I600:J600"/>
    <mergeCell ref="K600:L600"/>
    <mergeCell ref="B601:D601"/>
    <mergeCell ref="I601:J601"/>
    <mergeCell ref="K601:L601"/>
    <mergeCell ref="A602:D602"/>
    <mergeCell ref="I602:J602"/>
    <mergeCell ref="K602:L602"/>
    <mergeCell ref="B603:D603"/>
    <mergeCell ref="I603:J603"/>
    <mergeCell ref="K603:L603"/>
    <mergeCell ref="A604:D604"/>
    <mergeCell ref="I604:J604"/>
    <mergeCell ref="K604:L604"/>
    <mergeCell ref="B605:D605"/>
    <mergeCell ref="I605:J605"/>
    <mergeCell ref="K605:L605"/>
    <mergeCell ref="A606:D606"/>
    <mergeCell ref="I606:J606"/>
    <mergeCell ref="K606:L606"/>
    <mergeCell ref="B607:D607"/>
    <mergeCell ref="I607:J607"/>
    <mergeCell ref="K607:L607"/>
    <mergeCell ref="A608:D608"/>
    <mergeCell ref="I608:J608"/>
    <mergeCell ref="K608:L608"/>
    <mergeCell ref="A609:D609"/>
    <mergeCell ref="I609:J609"/>
    <mergeCell ref="K609:L609"/>
    <mergeCell ref="B610:D610"/>
    <mergeCell ref="I610:J610"/>
    <mergeCell ref="K610:L610"/>
    <mergeCell ref="B611:D611"/>
    <mergeCell ref="I611:J611"/>
    <mergeCell ref="K611:L611"/>
    <mergeCell ref="B612:D612"/>
    <mergeCell ref="I612:J612"/>
    <mergeCell ref="K612:L612"/>
    <mergeCell ref="A613:D613"/>
    <mergeCell ref="I613:J613"/>
    <mergeCell ref="K613:L613"/>
    <mergeCell ref="B614:D614"/>
    <mergeCell ref="I614:J614"/>
    <mergeCell ref="K614:L614"/>
    <mergeCell ref="A615:D615"/>
    <mergeCell ref="I615:J615"/>
    <mergeCell ref="K615:L615"/>
    <mergeCell ref="B616:D616"/>
    <mergeCell ref="I616:J616"/>
    <mergeCell ref="K616:L616"/>
    <mergeCell ref="A617:D617"/>
    <mergeCell ref="I617:J617"/>
    <mergeCell ref="K617:L617"/>
    <mergeCell ref="A618:D618"/>
    <mergeCell ref="I618:J618"/>
    <mergeCell ref="K618:L618"/>
    <mergeCell ref="B619:D619"/>
    <mergeCell ref="I619:J619"/>
    <mergeCell ref="K619:L619"/>
    <mergeCell ref="B620:D620"/>
    <mergeCell ref="I620:J620"/>
    <mergeCell ref="K620:L620"/>
    <mergeCell ref="B621:D621"/>
    <mergeCell ref="I621:J621"/>
    <mergeCell ref="K621:L621"/>
    <mergeCell ref="A622:D622"/>
    <mergeCell ref="I622:J622"/>
    <mergeCell ref="K622:L622"/>
    <mergeCell ref="A623:D623"/>
    <mergeCell ref="I623:J623"/>
    <mergeCell ref="K623:L623"/>
    <mergeCell ref="B624:D624"/>
    <mergeCell ref="I624:J624"/>
    <mergeCell ref="K624:L624"/>
    <mergeCell ref="B625:D625"/>
    <mergeCell ref="I625:J625"/>
    <mergeCell ref="K625:L625"/>
    <mergeCell ref="B626:D626"/>
    <mergeCell ref="I626:J626"/>
    <mergeCell ref="K626:L626"/>
    <mergeCell ref="A627:D627"/>
    <mergeCell ref="I627:J627"/>
    <mergeCell ref="K627:L627"/>
    <mergeCell ref="A628:D628"/>
    <mergeCell ref="I628:J628"/>
    <mergeCell ref="K628:L628"/>
    <mergeCell ref="B629:D629"/>
    <mergeCell ref="I629:J629"/>
    <mergeCell ref="K629:L629"/>
    <mergeCell ref="B630:D630"/>
    <mergeCell ref="I630:J630"/>
    <mergeCell ref="K630:L630"/>
    <mergeCell ref="B631:D631"/>
    <mergeCell ref="I631:J631"/>
    <mergeCell ref="K631:L631"/>
    <mergeCell ref="A632:D632"/>
    <mergeCell ref="I632:J632"/>
    <mergeCell ref="K632:L632"/>
    <mergeCell ref="B633:D633"/>
    <mergeCell ref="I633:J633"/>
    <mergeCell ref="K633:L633"/>
    <mergeCell ref="A634:D634"/>
    <mergeCell ref="I634:J634"/>
    <mergeCell ref="K634:L634"/>
    <mergeCell ref="B635:D635"/>
    <mergeCell ref="I635:J635"/>
    <mergeCell ref="K635:L635"/>
    <mergeCell ref="A636:D636"/>
    <mergeCell ref="I636:J636"/>
    <mergeCell ref="K636:L636"/>
    <mergeCell ref="A637:D637"/>
    <mergeCell ref="I637:J637"/>
    <mergeCell ref="K637:L637"/>
    <mergeCell ref="B638:D638"/>
    <mergeCell ref="I638:J638"/>
    <mergeCell ref="K638:L638"/>
    <mergeCell ref="B639:D639"/>
    <mergeCell ref="I639:J639"/>
    <mergeCell ref="K639:L639"/>
    <mergeCell ref="B640:D640"/>
    <mergeCell ref="I640:J640"/>
    <mergeCell ref="K640:L640"/>
    <mergeCell ref="A641:D641"/>
    <mergeCell ref="I641:J641"/>
    <mergeCell ref="K641:L641"/>
    <mergeCell ref="B642:D642"/>
    <mergeCell ref="I642:J642"/>
    <mergeCell ref="K642:L642"/>
    <mergeCell ref="A643:D643"/>
    <mergeCell ref="I643:J643"/>
    <mergeCell ref="K643:L643"/>
    <mergeCell ref="A644:D644"/>
    <mergeCell ref="I644:J644"/>
    <mergeCell ref="K644:L644"/>
    <mergeCell ref="B645:D645"/>
    <mergeCell ref="I645:J645"/>
    <mergeCell ref="K645:L645"/>
    <mergeCell ref="B646:D646"/>
    <mergeCell ref="I646:J646"/>
    <mergeCell ref="K646:L646"/>
    <mergeCell ref="B647:D647"/>
    <mergeCell ref="I647:J647"/>
    <mergeCell ref="K647:L647"/>
    <mergeCell ref="A648:D648"/>
    <mergeCell ref="I648:J648"/>
    <mergeCell ref="K648:L648"/>
    <mergeCell ref="A649:D649"/>
    <mergeCell ref="I649:J649"/>
    <mergeCell ref="K649:L649"/>
    <mergeCell ref="B650:D650"/>
    <mergeCell ref="I650:J650"/>
    <mergeCell ref="K650:L650"/>
    <mergeCell ref="B651:D651"/>
    <mergeCell ref="I651:J651"/>
    <mergeCell ref="K651:L651"/>
    <mergeCell ref="B652:D652"/>
    <mergeCell ref="I652:J652"/>
    <mergeCell ref="K652:L652"/>
    <mergeCell ref="A653:D653"/>
    <mergeCell ref="I653:J653"/>
    <mergeCell ref="K653:L653"/>
    <mergeCell ref="A654:D654"/>
    <mergeCell ref="I654:J654"/>
    <mergeCell ref="K654:L654"/>
    <mergeCell ref="B655:D655"/>
    <mergeCell ref="I655:J655"/>
    <mergeCell ref="K655:L655"/>
    <mergeCell ref="B656:D656"/>
    <mergeCell ref="I656:J656"/>
    <mergeCell ref="K656:L656"/>
    <mergeCell ref="B657:D657"/>
    <mergeCell ref="I657:J657"/>
    <mergeCell ref="K657:L657"/>
    <mergeCell ref="A658:D658"/>
    <mergeCell ref="I658:J658"/>
    <mergeCell ref="K658:L658"/>
    <mergeCell ref="B659:D659"/>
    <mergeCell ref="I659:J659"/>
    <mergeCell ref="K659:L659"/>
    <mergeCell ref="A660:D660"/>
    <mergeCell ref="I660:J660"/>
    <mergeCell ref="K660:L660"/>
    <mergeCell ref="B661:D661"/>
    <mergeCell ref="I661:J661"/>
    <mergeCell ref="K661:L661"/>
    <mergeCell ref="A662:D662"/>
    <mergeCell ref="I662:J662"/>
    <mergeCell ref="K662:L662"/>
    <mergeCell ref="B663:D663"/>
    <mergeCell ref="I663:J663"/>
    <mergeCell ref="K663:L663"/>
    <mergeCell ref="A664:D664"/>
    <mergeCell ref="I664:J664"/>
    <mergeCell ref="K664:L664"/>
    <mergeCell ref="B665:D665"/>
    <mergeCell ref="I665:J665"/>
    <mergeCell ref="K665:L665"/>
    <mergeCell ref="A666:D666"/>
    <mergeCell ref="I666:J666"/>
    <mergeCell ref="K666:L666"/>
    <mergeCell ref="B667:D667"/>
    <mergeCell ref="I667:J667"/>
    <mergeCell ref="K667:L667"/>
    <mergeCell ref="A668:D668"/>
    <mergeCell ref="I668:J668"/>
    <mergeCell ref="K668:L668"/>
    <mergeCell ref="B669:D669"/>
    <mergeCell ref="I669:J669"/>
    <mergeCell ref="K669:L669"/>
    <mergeCell ref="A670:D670"/>
    <mergeCell ref="I670:J670"/>
    <mergeCell ref="K670:L670"/>
    <mergeCell ref="A671:D671"/>
    <mergeCell ref="I671:J671"/>
    <mergeCell ref="K671:L671"/>
    <mergeCell ref="B672:D672"/>
    <mergeCell ref="I672:J672"/>
    <mergeCell ref="K672:L672"/>
    <mergeCell ref="B673:D673"/>
    <mergeCell ref="I673:J673"/>
    <mergeCell ref="K673:L673"/>
    <mergeCell ref="B674:D674"/>
    <mergeCell ref="I674:J674"/>
    <mergeCell ref="K674:L674"/>
    <mergeCell ref="A675:D675"/>
    <mergeCell ref="I675:J675"/>
    <mergeCell ref="K675:L675"/>
    <mergeCell ref="A676:D676"/>
    <mergeCell ref="I676:J676"/>
    <mergeCell ref="K676:L676"/>
    <mergeCell ref="B677:D677"/>
    <mergeCell ref="I677:J677"/>
    <mergeCell ref="K677:L677"/>
    <mergeCell ref="B678:D678"/>
    <mergeCell ref="I678:J678"/>
    <mergeCell ref="K678:L678"/>
    <mergeCell ref="B679:D679"/>
    <mergeCell ref="I679:J679"/>
    <mergeCell ref="K679:L679"/>
    <mergeCell ref="A680:D680"/>
    <mergeCell ref="I680:J680"/>
    <mergeCell ref="K680:L680"/>
    <mergeCell ref="A681:D681"/>
    <mergeCell ref="I681:J681"/>
    <mergeCell ref="K681:L681"/>
    <mergeCell ref="B682:D682"/>
    <mergeCell ref="I682:J682"/>
    <mergeCell ref="K682:L682"/>
    <mergeCell ref="B683:D683"/>
    <mergeCell ref="I683:J683"/>
    <mergeCell ref="K683:L683"/>
    <mergeCell ref="B684:D684"/>
    <mergeCell ref="I684:J684"/>
    <mergeCell ref="K684:L684"/>
    <mergeCell ref="A685:D685"/>
    <mergeCell ref="I685:J685"/>
    <mergeCell ref="K685:L685"/>
    <mergeCell ref="A686:D686"/>
    <mergeCell ref="I686:J686"/>
    <mergeCell ref="K686:L686"/>
    <mergeCell ref="B687:D687"/>
    <mergeCell ref="I687:J687"/>
    <mergeCell ref="K687:L687"/>
    <mergeCell ref="B688:D688"/>
    <mergeCell ref="I688:J688"/>
    <mergeCell ref="K688:L688"/>
    <mergeCell ref="B689:D689"/>
    <mergeCell ref="I689:J689"/>
    <mergeCell ref="K689:L689"/>
    <mergeCell ref="A690:D690"/>
    <mergeCell ref="I690:J690"/>
    <mergeCell ref="K690:L690"/>
    <mergeCell ref="A691:D691"/>
    <mergeCell ref="I691:J691"/>
    <mergeCell ref="K691:L691"/>
    <mergeCell ref="B692:D692"/>
    <mergeCell ref="I692:J692"/>
    <mergeCell ref="K692:L692"/>
    <mergeCell ref="B693:D693"/>
    <mergeCell ref="I693:J693"/>
    <mergeCell ref="K693:L693"/>
    <mergeCell ref="B694:D694"/>
    <mergeCell ref="I694:J694"/>
    <mergeCell ref="K694:L694"/>
    <mergeCell ref="A695:D695"/>
    <mergeCell ref="I695:J695"/>
    <mergeCell ref="K695:L695"/>
    <mergeCell ref="A696:D696"/>
    <mergeCell ref="I696:J696"/>
    <mergeCell ref="K696:L696"/>
    <mergeCell ref="B697:D697"/>
    <mergeCell ref="I697:J697"/>
    <mergeCell ref="K697:L697"/>
    <mergeCell ref="B698:D698"/>
    <mergeCell ref="I698:J698"/>
    <mergeCell ref="K698:L698"/>
    <mergeCell ref="B699:D699"/>
    <mergeCell ref="I699:J699"/>
    <mergeCell ref="K699:L699"/>
    <mergeCell ref="A700:D700"/>
    <mergeCell ref="I700:J700"/>
    <mergeCell ref="K700:L700"/>
    <mergeCell ref="B701:D701"/>
    <mergeCell ref="I701:J701"/>
    <mergeCell ref="K701:L701"/>
    <mergeCell ref="A702:D702"/>
    <mergeCell ref="I702:J702"/>
    <mergeCell ref="K702:L702"/>
    <mergeCell ref="A703:D703"/>
    <mergeCell ref="I703:J703"/>
    <mergeCell ref="K703:L703"/>
    <mergeCell ref="B704:D704"/>
    <mergeCell ref="I704:J704"/>
    <mergeCell ref="K704:L704"/>
    <mergeCell ref="B705:D705"/>
    <mergeCell ref="I705:J705"/>
    <mergeCell ref="K705:L705"/>
    <mergeCell ref="B706:D706"/>
    <mergeCell ref="I706:J706"/>
    <mergeCell ref="K706:L706"/>
    <mergeCell ref="A707:D707"/>
    <mergeCell ref="I707:J707"/>
    <mergeCell ref="K707:L707"/>
    <mergeCell ref="A708:D708"/>
    <mergeCell ref="I708:J708"/>
    <mergeCell ref="K708:L708"/>
    <mergeCell ref="B709:D709"/>
    <mergeCell ref="I709:J709"/>
    <mergeCell ref="K709:L709"/>
    <mergeCell ref="B710:D710"/>
    <mergeCell ref="I710:J710"/>
    <mergeCell ref="K710:L710"/>
    <mergeCell ref="B711:D711"/>
    <mergeCell ref="I711:J711"/>
    <mergeCell ref="K711:L711"/>
    <mergeCell ref="A712:D712"/>
    <mergeCell ref="I712:J712"/>
    <mergeCell ref="K712:L712"/>
    <mergeCell ref="B713:D713"/>
    <mergeCell ref="I713:J713"/>
    <mergeCell ref="K713:L713"/>
    <mergeCell ref="A714:D714"/>
    <mergeCell ref="I714:J714"/>
    <mergeCell ref="K714:L714"/>
    <mergeCell ref="A715:D715"/>
    <mergeCell ref="I715:J715"/>
    <mergeCell ref="K715:L715"/>
    <mergeCell ref="B716:D716"/>
    <mergeCell ref="I716:J716"/>
    <mergeCell ref="K716:L716"/>
    <mergeCell ref="B717:D717"/>
    <mergeCell ref="I717:J717"/>
    <mergeCell ref="K717:L717"/>
    <mergeCell ref="B718:D718"/>
    <mergeCell ref="I718:J718"/>
    <mergeCell ref="K718:L718"/>
    <mergeCell ref="A719:D719"/>
    <mergeCell ref="I719:J719"/>
    <mergeCell ref="K719:L719"/>
    <mergeCell ref="A720:D720"/>
    <mergeCell ref="I720:J720"/>
    <mergeCell ref="K720:L720"/>
    <mergeCell ref="B721:D721"/>
    <mergeCell ref="I721:J721"/>
    <mergeCell ref="K721:L721"/>
    <mergeCell ref="B722:D722"/>
    <mergeCell ref="I722:J722"/>
    <mergeCell ref="K722:L722"/>
    <mergeCell ref="A723:D723"/>
    <mergeCell ref="I723:J723"/>
    <mergeCell ref="K723:L723"/>
    <mergeCell ref="B724:D724"/>
    <mergeCell ref="I724:J724"/>
    <mergeCell ref="K724:L724"/>
    <mergeCell ref="B725:D725"/>
    <mergeCell ref="I725:J725"/>
    <mergeCell ref="K725:L725"/>
    <mergeCell ref="B726:D726"/>
    <mergeCell ref="I726:J726"/>
    <mergeCell ref="K726:L726"/>
    <mergeCell ref="A727:D727"/>
    <mergeCell ref="I727:J727"/>
    <mergeCell ref="K727:L727"/>
    <mergeCell ref="B728:D728"/>
    <mergeCell ref="I728:J728"/>
    <mergeCell ref="K728:L728"/>
    <mergeCell ref="A729:D729"/>
    <mergeCell ref="I729:J729"/>
    <mergeCell ref="K729:L729"/>
    <mergeCell ref="B730:D730"/>
    <mergeCell ref="I730:J730"/>
    <mergeCell ref="K730:L730"/>
    <mergeCell ref="A731:D731"/>
    <mergeCell ref="I731:J731"/>
    <mergeCell ref="K731:L731"/>
    <mergeCell ref="B732:D732"/>
    <mergeCell ref="I732:J732"/>
    <mergeCell ref="K732:L732"/>
    <mergeCell ref="A733:D733"/>
    <mergeCell ref="I733:J733"/>
    <mergeCell ref="K733:L733"/>
    <mergeCell ref="B734:D734"/>
    <mergeCell ref="I734:J734"/>
    <mergeCell ref="K734:L734"/>
    <mergeCell ref="A735:D735"/>
    <mergeCell ref="I735:J735"/>
    <mergeCell ref="K735:L735"/>
    <mergeCell ref="B736:D736"/>
    <mergeCell ref="I736:J736"/>
    <mergeCell ref="K736:L736"/>
    <mergeCell ref="A737:D737"/>
    <mergeCell ref="I737:J737"/>
    <mergeCell ref="K737:L737"/>
    <mergeCell ref="B738:D738"/>
    <mergeCell ref="I738:J738"/>
    <mergeCell ref="K738:L738"/>
    <mergeCell ref="A739:D739"/>
    <mergeCell ref="I739:J739"/>
    <mergeCell ref="K739:L739"/>
    <mergeCell ref="B740:D740"/>
    <mergeCell ref="I740:J740"/>
    <mergeCell ref="K740:L740"/>
    <mergeCell ref="A741:D741"/>
    <mergeCell ref="I741:J741"/>
    <mergeCell ref="K741:L741"/>
    <mergeCell ref="B742:D742"/>
    <mergeCell ref="I742:J742"/>
    <mergeCell ref="K742:L742"/>
    <mergeCell ref="A743:D743"/>
    <mergeCell ref="I743:J743"/>
    <mergeCell ref="K743:L743"/>
    <mergeCell ref="B744:D744"/>
    <mergeCell ref="I744:J744"/>
    <mergeCell ref="K744:L744"/>
    <mergeCell ref="A745:D745"/>
    <mergeCell ref="I745:J745"/>
    <mergeCell ref="K745:L745"/>
    <mergeCell ref="B746:D746"/>
    <mergeCell ref="I746:J746"/>
    <mergeCell ref="K746:L746"/>
    <mergeCell ref="A747:D747"/>
    <mergeCell ref="I747:J747"/>
    <mergeCell ref="K747:L747"/>
    <mergeCell ref="A748:D748"/>
    <mergeCell ref="I748:J748"/>
    <mergeCell ref="K748:L748"/>
    <mergeCell ref="B749:D749"/>
    <mergeCell ref="I749:J749"/>
    <mergeCell ref="K749:L749"/>
    <mergeCell ref="B750:D750"/>
    <mergeCell ref="I750:J750"/>
    <mergeCell ref="K750:L750"/>
    <mergeCell ref="B751:D751"/>
    <mergeCell ref="I751:J751"/>
    <mergeCell ref="K751:L751"/>
    <mergeCell ref="A752:D752"/>
    <mergeCell ref="I752:J752"/>
    <mergeCell ref="K752:L752"/>
    <mergeCell ref="A753:D753"/>
    <mergeCell ref="I753:J753"/>
    <mergeCell ref="K753:L753"/>
    <mergeCell ref="B754:D754"/>
    <mergeCell ref="I754:J754"/>
    <mergeCell ref="K754:L754"/>
    <mergeCell ref="B755:D755"/>
    <mergeCell ref="I755:J755"/>
    <mergeCell ref="K755:L755"/>
    <mergeCell ref="B756:D756"/>
    <mergeCell ref="I756:J756"/>
    <mergeCell ref="K756:L756"/>
    <mergeCell ref="A757:D757"/>
    <mergeCell ref="I757:J757"/>
    <mergeCell ref="K757:L757"/>
    <mergeCell ref="B758:D758"/>
    <mergeCell ref="I758:J758"/>
    <mergeCell ref="K758:L758"/>
    <mergeCell ref="A759:D759"/>
    <mergeCell ref="I759:J759"/>
    <mergeCell ref="K759:L759"/>
    <mergeCell ref="B760:D760"/>
    <mergeCell ref="I760:J760"/>
    <mergeCell ref="K760:L760"/>
    <mergeCell ref="A761:D761"/>
    <mergeCell ref="I761:J761"/>
    <mergeCell ref="K761:L761"/>
    <mergeCell ref="B762:D762"/>
    <mergeCell ref="I762:J762"/>
    <mergeCell ref="K762:L762"/>
    <mergeCell ref="A763:D763"/>
    <mergeCell ref="I763:J763"/>
    <mergeCell ref="K763:L763"/>
    <mergeCell ref="B764:D764"/>
    <mergeCell ref="I764:J764"/>
    <mergeCell ref="K764:L764"/>
    <mergeCell ref="A765:D765"/>
    <mergeCell ref="I765:J765"/>
    <mergeCell ref="K765:L765"/>
    <mergeCell ref="B766:D766"/>
    <mergeCell ref="I766:J766"/>
    <mergeCell ref="K766:L766"/>
    <mergeCell ref="A767:D767"/>
    <mergeCell ref="I767:J767"/>
    <mergeCell ref="K767:L767"/>
    <mergeCell ref="B768:D768"/>
    <mergeCell ref="I768:J768"/>
    <mergeCell ref="K768:L768"/>
    <mergeCell ref="A769:D769"/>
    <mergeCell ref="I769:J769"/>
    <mergeCell ref="K769:L769"/>
    <mergeCell ref="B770:D770"/>
    <mergeCell ref="I770:J770"/>
    <mergeCell ref="K770:L770"/>
    <mergeCell ref="A771:D771"/>
    <mergeCell ref="I771:J771"/>
    <mergeCell ref="K771:L771"/>
    <mergeCell ref="B772:D772"/>
    <mergeCell ref="I772:J772"/>
    <mergeCell ref="K772:L772"/>
    <mergeCell ref="A773:D773"/>
    <mergeCell ref="I773:J773"/>
    <mergeCell ref="K773:L773"/>
    <mergeCell ref="B774:D774"/>
    <mergeCell ref="I774:J774"/>
    <mergeCell ref="K774:L774"/>
    <mergeCell ref="A775:D775"/>
    <mergeCell ref="I775:J775"/>
    <mergeCell ref="K775:L775"/>
    <mergeCell ref="B776:D776"/>
    <mergeCell ref="I776:J776"/>
    <mergeCell ref="K776:L776"/>
    <mergeCell ref="A777:D777"/>
    <mergeCell ref="I777:J777"/>
    <mergeCell ref="K777:L777"/>
    <mergeCell ref="B778:D778"/>
    <mergeCell ref="I778:J778"/>
    <mergeCell ref="K778:L778"/>
    <mergeCell ref="A779:D779"/>
    <mergeCell ref="I779:J779"/>
    <mergeCell ref="K779:L779"/>
    <mergeCell ref="B780:D780"/>
    <mergeCell ref="I780:J780"/>
    <mergeCell ref="K780:L780"/>
    <mergeCell ref="A781:D781"/>
    <mergeCell ref="I781:J781"/>
    <mergeCell ref="K781:L781"/>
    <mergeCell ref="B782:D782"/>
    <mergeCell ref="I782:J782"/>
    <mergeCell ref="K782:L782"/>
    <mergeCell ref="A783:D783"/>
    <mergeCell ref="I783:J783"/>
    <mergeCell ref="K783:L783"/>
    <mergeCell ref="B784:D784"/>
    <mergeCell ref="I784:J784"/>
    <mergeCell ref="K784:L784"/>
    <mergeCell ref="A785:D785"/>
    <mergeCell ref="I785:J785"/>
    <mergeCell ref="K785:L785"/>
    <mergeCell ref="B786:D786"/>
    <mergeCell ref="I786:J786"/>
    <mergeCell ref="K786:L786"/>
    <mergeCell ref="A787:D787"/>
    <mergeCell ref="I787:J787"/>
    <mergeCell ref="K787:L787"/>
    <mergeCell ref="A788:D788"/>
    <mergeCell ref="I788:J788"/>
    <mergeCell ref="K788:L788"/>
    <mergeCell ref="B789:D789"/>
    <mergeCell ref="I789:J789"/>
    <mergeCell ref="K789:L789"/>
    <mergeCell ref="B790:D790"/>
    <mergeCell ref="I790:J790"/>
    <mergeCell ref="K790:L790"/>
    <mergeCell ref="B791:D791"/>
    <mergeCell ref="I791:J791"/>
    <mergeCell ref="K791:L791"/>
    <mergeCell ref="A792:D792"/>
    <mergeCell ref="I792:J792"/>
    <mergeCell ref="K792:L792"/>
    <mergeCell ref="B793:D793"/>
    <mergeCell ref="I793:J793"/>
    <mergeCell ref="K793:L793"/>
    <mergeCell ref="A794:D794"/>
    <mergeCell ref="I794:J794"/>
    <mergeCell ref="K794:L794"/>
    <mergeCell ref="B795:D795"/>
    <mergeCell ref="I795:J795"/>
    <mergeCell ref="K795:L795"/>
    <mergeCell ref="A796:D796"/>
    <mergeCell ref="I796:J796"/>
    <mergeCell ref="K796:L796"/>
    <mergeCell ref="B797:D797"/>
    <mergeCell ref="I797:J797"/>
    <mergeCell ref="K797:L797"/>
    <mergeCell ref="A798:D798"/>
    <mergeCell ref="I798:J798"/>
    <mergeCell ref="K798:L798"/>
    <mergeCell ref="A799:D799"/>
    <mergeCell ref="I799:J799"/>
    <mergeCell ref="K799:L799"/>
    <mergeCell ref="B800:D800"/>
    <mergeCell ref="I800:J800"/>
    <mergeCell ref="K800:L800"/>
    <mergeCell ref="B801:D801"/>
    <mergeCell ref="I801:J801"/>
    <mergeCell ref="K801:L801"/>
    <mergeCell ref="B802:D802"/>
    <mergeCell ref="I802:J802"/>
    <mergeCell ref="K802:L802"/>
    <mergeCell ref="A803:D803"/>
    <mergeCell ref="I803:J803"/>
    <mergeCell ref="K803:L803"/>
    <mergeCell ref="B804:D804"/>
    <mergeCell ref="I804:J804"/>
    <mergeCell ref="K804:L804"/>
    <mergeCell ref="A805:D805"/>
    <mergeCell ref="I805:J805"/>
    <mergeCell ref="K805:L805"/>
    <mergeCell ref="B806:D806"/>
    <mergeCell ref="I806:J806"/>
    <mergeCell ref="K806:L806"/>
    <mergeCell ref="A807:D807"/>
    <mergeCell ref="I807:J807"/>
    <mergeCell ref="K807:L807"/>
    <mergeCell ref="B808:D808"/>
    <mergeCell ref="I808:J808"/>
    <mergeCell ref="K808:L808"/>
    <mergeCell ref="A809:D809"/>
    <mergeCell ref="I809:J809"/>
    <mergeCell ref="K809:L809"/>
    <mergeCell ref="B810:D810"/>
    <mergeCell ref="I810:J810"/>
    <mergeCell ref="K810:L810"/>
    <mergeCell ref="A811:D811"/>
    <mergeCell ref="I811:J811"/>
    <mergeCell ref="K811:L811"/>
    <mergeCell ref="B812:D812"/>
    <mergeCell ref="I812:J812"/>
    <mergeCell ref="K812:L812"/>
    <mergeCell ref="A813:D813"/>
    <mergeCell ref="I813:J813"/>
    <mergeCell ref="K813:L813"/>
    <mergeCell ref="B814:D814"/>
    <mergeCell ref="I814:J814"/>
    <mergeCell ref="K814:L814"/>
    <mergeCell ref="A815:D815"/>
    <mergeCell ref="I815:J815"/>
    <mergeCell ref="K815:L815"/>
    <mergeCell ref="B816:D816"/>
    <mergeCell ref="I816:J816"/>
    <mergeCell ref="K816:L816"/>
    <mergeCell ref="A817:D817"/>
    <mergeCell ref="I817:J817"/>
    <mergeCell ref="K817:L817"/>
    <mergeCell ref="A818:D818"/>
    <mergeCell ref="I818:J818"/>
    <mergeCell ref="K818:L818"/>
    <mergeCell ref="B819:D819"/>
    <mergeCell ref="I819:J819"/>
    <mergeCell ref="K819:L819"/>
    <mergeCell ref="B820:D820"/>
    <mergeCell ref="I820:J820"/>
    <mergeCell ref="K820:L820"/>
    <mergeCell ref="B821:D821"/>
    <mergeCell ref="I821:J821"/>
    <mergeCell ref="K821:L821"/>
    <mergeCell ref="A822:D822"/>
    <mergeCell ref="I822:J822"/>
    <mergeCell ref="K822:L822"/>
    <mergeCell ref="A823:D823"/>
    <mergeCell ref="I823:J823"/>
    <mergeCell ref="K823:L823"/>
    <mergeCell ref="B824:D824"/>
    <mergeCell ref="I824:J824"/>
    <mergeCell ref="K824:L824"/>
    <mergeCell ref="B825:D825"/>
    <mergeCell ref="I825:J825"/>
    <mergeCell ref="K825:L825"/>
    <mergeCell ref="A826:D826"/>
    <mergeCell ref="I826:J826"/>
    <mergeCell ref="K826:L826"/>
    <mergeCell ref="B827:D827"/>
    <mergeCell ref="I827:J827"/>
    <mergeCell ref="K827:L827"/>
    <mergeCell ref="B828:D828"/>
    <mergeCell ref="I828:J828"/>
    <mergeCell ref="K828:L828"/>
    <mergeCell ref="B829:D829"/>
    <mergeCell ref="I829:J829"/>
    <mergeCell ref="K829:L829"/>
    <mergeCell ref="A830:D830"/>
    <mergeCell ref="I830:J830"/>
    <mergeCell ref="K830:L830"/>
    <mergeCell ref="A831:D831"/>
    <mergeCell ref="I831:J831"/>
    <mergeCell ref="K831:L831"/>
    <mergeCell ref="B832:D832"/>
    <mergeCell ref="I832:J832"/>
    <mergeCell ref="K832:L832"/>
    <mergeCell ref="B833:D833"/>
    <mergeCell ref="I833:J833"/>
    <mergeCell ref="K833:L833"/>
    <mergeCell ref="A834:D834"/>
    <mergeCell ref="I834:J834"/>
    <mergeCell ref="K834:L834"/>
    <mergeCell ref="B835:D835"/>
    <mergeCell ref="I835:J835"/>
    <mergeCell ref="K835:L835"/>
    <mergeCell ref="B836:D836"/>
    <mergeCell ref="I836:J836"/>
    <mergeCell ref="K836:L836"/>
    <mergeCell ref="B837:D837"/>
    <mergeCell ref="I837:J837"/>
    <mergeCell ref="K837:L837"/>
    <mergeCell ref="A838:D838"/>
    <mergeCell ref="I838:J838"/>
    <mergeCell ref="K838:L838"/>
    <mergeCell ref="A839:D839"/>
    <mergeCell ref="I839:J839"/>
    <mergeCell ref="K839:L839"/>
    <mergeCell ref="B840:D840"/>
    <mergeCell ref="I840:J840"/>
    <mergeCell ref="K840:L840"/>
    <mergeCell ref="B841:D841"/>
    <mergeCell ref="I841:J841"/>
    <mergeCell ref="K841:L841"/>
    <mergeCell ref="B842:D842"/>
    <mergeCell ref="I842:J842"/>
    <mergeCell ref="K842:L842"/>
    <mergeCell ref="A843:D843"/>
    <mergeCell ref="I843:J843"/>
    <mergeCell ref="K843:L843"/>
    <mergeCell ref="A844:D844"/>
    <mergeCell ref="I844:J844"/>
    <mergeCell ref="K844:L844"/>
    <mergeCell ref="B845:D845"/>
    <mergeCell ref="I845:J845"/>
    <mergeCell ref="K845:L845"/>
    <mergeCell ref="B846:D846"/>
    <mergeCell ref="I846:J846"/>
    <mergeCell ref="K846:L846"/>
    <mergeCell ref="B847:D847"/>
    <mergeCell ref="I847:J847"/>
    <mergeCell ref="K847:L847"/>
    <mergeCell ref="A848:D848"/>
    <mergeCell ref="I848:J848"/>
    <mergeCell ref="K848:L848"/>
    <mergeCell ref="A849:D849"/>
    <mergeCell ref="I849:J849"/>
    <mergeCell ref="K849:L849"/>
    <mergeCell ref="B850:D850"/>
    <mergeCell ref="I850:J850"/>
    <mergeCell ref="K850:L850"/>
    <mergeCell ref="B851:D851"/>
    <mergeCell ref="I851:J851"/>
    <mergeCell ref="K851:L851"/>
    <mergeCell ref="B852:D852"/>
    <mergeCell ref="I852:J852"/>
    <mergeCell ref="K852:L852"/>
    <mergeCell ref="A853:D853"/>
    <mergeCell ref="I853:J853"/>
    <mergeCell ref="K853:L853"/>
    <mergeCell ref="B854:D854"/>
    <mergeCell ref="I854:J854"/>
    <mergeCell ref="K854:L854"/>
    <mergeCell ref="A855:D855"/>
    <mergeCell ref="I855:J855"/>
    <mergeCell ref="K855:L855"/>
    <mergeCell ref="B856:D856"/>
    <mergeCell ref="I856:J856"/>
    <mergeCell ref="K856:L856"/>
    <mergeCell ref="A857:D857"/>
    <mergeCell ref="I857:J857"/>
    <mergeCell ref="K857:L857"/>
    <mergeCell ref="A858:D858"/>
    <mergeCell ref="I858:J858"/>
    <mergeCell ref="K858:L858"/>
    <mergeCell ref="B859:D859"/>
    <mergeCell ref="I859:J859"/>
    <mergeCell ref="K859:L859"/>
    <mergeCell ref="B860:D860"/>
    <mergeCell ref="I860:J860"/>
    <mergeCell ref="K860:L860"/>
    <mergeCell ref="B861:D861"/>
    <mergeCell ref="I861:J861"/>
    <mergeCell ref="K861:L861"/>
    <mergeCell ref="A862:D862"/>
    <mergeCell ref="I862:J862"/>
    <mergeCell ref="K862:L862"/>
    <mergeCell ref="A863:D863"/>
    <mergeCell ref="I863:J863"/>
    <mergeCell ref="K863:L863"/>
    <mergeCell ref="B864:D864"/>
    <mergeCell ref="I864:J864"/>
    <mergeCell ref="K864:L864"/>
    <mergeCell ref="B865:D865"/>
    <mergeCell ref="I865:J865"/>
    <mergeCell ref="K865:L865"/>
    <mergeCell ref="B866:D866"/>
    <mergeCell ref="I866:J866"/>
    <mergeCell ref="K866:L866"/>
    <mergeCell ref="A867:D867"/>
    <mergeCell ref="I867:J867"/>
    <mergeCell ref="K867:L867"/>
    <mergeCell ref="A868:D868"/>
    <mergeCell ref="I868:J868"/>
    <mergeCell ref="K868:L868"/>
    <mergeCell ref="B869:D869"/>
    <mergeCell ref="I869:J869"/>
    <mergeCell ref="K869:L869"/>
    <mergeCell ref="B870:D870"/>
    <mergeCell ref="I870:J870"/>
    <mergeCell ref="K870:L870"/>
    <mergeCell ref="A871:D871"/>
    <mergeCell ref="I871:J871"/>
    <mergeCell ref="K871:L871"/>
    <mergeCell ref="B872:D872"/>
    <mergeCell ref="I872:J872"/>
    <mergeCell ref="K872:L872"/>
    <mergeCell ref="B873:D873"/>
    <mergeCell ref="I873:J873"/>
    <mergeCell ref="K873:L873"/>
    <mergeCell ref="B874:D874"/>
    <mergeCell ref="I874:J874"/>
    <mergeCell ref="K874:L874"/>
    <mergeCell ref="A875:D875"/>
    <mergeCell ref="I875:J875"/>
    <mergeCell ref="K875:L875"/>
    <mergeCell ref="B876:D876"/>
    <mergeCell ref="I876:J876"/>
    <mergeCell ref="K876:L876"/>
    <mergeCell ref="A877:D877"/>
    <mergeCell ref="I877:J877"/>
    <mergeCell ref="K877:L877"/>
    <mergeCell ref="B878:D878"/>
    <mergeCell ref="I878:J878"/>
    <mergeCell ref="K878:L878"/>
    <mergeCell ref="A879:D879"/>
    <mergeCell ref="I879:J879"/>
    <mergeCell ref="K879:L879"/>
    <mergeCell ref="A880:D880"/>
    <mergeCell ref="I880:J880"/>
    <mergeCell ref="K880:L880"/>
    <mergeCell ref="B881:D881"/>
    <mergeCell ref="I881:J881"/>
    <mergeCell ref="K881:L881"/>
    <mergeCell ref="B882:D882"/>
    <mergeCell ref="I882:J882"/>
    <mergeCell ref="K882:L882"/>
    <mergeCell ref="B883:D883"/>
    <mergeCell ref="I883:J883"/>
    <mergeCell ref="K883:L883"/>
    <mergeCell ref="A884:D884"/>
    <mergeCell ref="I884:J884"/>
    <mergeCell ref="K884:L884"/>
    <mergeCell ref="B885:D885"/>
    <mergeCell ref="I885:J885"/>
    <mergeCell ref="K885:L885"/>
    <mergeCell ref="A886:D886"/>
    <mergeCell ref="I886:J886"/>
    <mergeCell ref="K886:L886"/>
    <mergeCell ref="A887:D887"/>
    <mergeCell ref="I887:J887"/>
    <mergeCell ref="K887:L887"/>
    <mergeCell ref="B888:D888"/>
    <mergeCell ref="I888:J888"/>
    <mergeCell ref="K888:L888"/>
    <mergeCell ref="B889:D889"/>
    <mergeCell ref="I889:J889"/>
    <mergeCell ref="K889:L889"/>
    <mergeCell ref="B890:D890"/>
    <mergeCell ref="I890:J890"/>
    <mergeCell ref="K890:L890"/>
    <mergeCell ref="A891:D891"/>
    <mergeCell ref="I891:J891"/>
    <mergeCell ref="K891:L891"/>
    <mergeCell ref="B892:D892"/>
    <mergeCell ref="I892:J892"/>
    <mergeCell ref="K892:L892"/>
    <mergeCell ref="A893:D893"/>
    <mergeCell ref="I893:J893"/>
    <mergeCell ref="K893:L893"/>
    <mergeCell ref="B894:D894"/>
    <mergeCell ref="I894:J894"/>
    <mergeCell ref="K894:L894"/>
    <mergeCell ref="A895:D895"/>
    <mergeCell ref="I895:J895"/>
    <mergeCell ref="K895:L895"/>
    <mergeCell ref="B896:D896"/>
    <mergeCell ref="I896:J896"/>
    <mergeCell ref="K896:L896"/>
    <mergeCell ref="A897:D897"/>
    <mergeCell ref="I897:J897"/>
    <mergeCell ref="K897:L897"/>
    <mergeCell ref="B898:D898"/>
    <mergeCell ref="I898:J898"/>
    <mergeCell ref="K898:L898"/>
    <mergeCell ref="A899:D899"/>
    <mergeCell ref="I899:J899"/>
    <mergeCell ref="K899:L899"/>
    <mergeCell ref="B900:D900"/>
    <mergeCell ref="I900:J900"/>
    <mergeCell ref="K900:L900"/>
    <mergeCell ref="A901:D901"/>
    <mergeCell ref="I901:J901"/>
    <mergeCell ref="K901:L901"/>
    <mergeCell ref="A902:D902"/>
    <mergeCell ref="I902:J902"/>
    <mergeCell ref="K902:L902"/>
    <mergeCell ref="B903:D903"/>
    <mergeCell ref="I903:J903"/>
    <mergeCell ref="K903:L903"/>
    <mergeCell ref="B904:D904"/>
    <mergeCell ref="I904:J904"/>
    <mergeCell ref="K904:L904"/>
    <mergeCell ref="B905:D905"/>
    <mergeCell ref="I905:J905"/>
    <mergeCell ref="K905:L905"/>
    <mergeCell ref="A906:D906"/>
    <mergeCell ref="I906:J906"/>
    <mergeCell ref="K906:L906"/>
    <mergeCell ref="A907:D907"/>
    <mergeCell ref="I907:J907"/>
    <mergeCell ref="K907:L907"/>
    <mergeCell ref="B908:D908"/>
    <mergeCell ref="I908:J908"/>
    <mergeCell ref="K908:L908"/>
    <mergeCell ref="B909:D909"/>
    <mergeCell ref="I909:J909"/>
    <mergeCell ref="K909:L909"/>
    <mergeCell ref="B910:D910"/>
    <mergeCell ref="I910:J910"/>
    <mergeCell ref="K910:L910"/>
    <mergeCell ref="A911:D911"/>
    <mergeCell ref="I911:J911"/>
    <mergeCell ref="K911:L911"/>
    <mergeCell ref="B912:D912"/>
    <mergeCell ref="I912:J912"/>
    <mergeCell ref="K912:L912"/>
    <mergeCell ref="A913:D913"/>
    <mergeCell ref="I913:J913"/>
    <mergeCell ref="K913:L913"/>
    <mergeCell ref="B914:D914"/>
    <mergeCell ref="I914:J914"/>
    <mergeCell ref="K914:L914"/>
    <mergeCell ref="A915:D915"/>
    <mergeCell ref="I915:J915"/>
    <mergeCell ref="K915:L915"/>
    <mergeCell ref="B916:D916"/>
    <mergeCell ref="I916:J916"/>
    <mergeCell ref="K916:L916"/>
    <mergeCell ref="A917:D917"/>
    <mergeCell ref="I917:J917"/>
    <mergeCell ref="K917:L917"/>
    <mergeCell ref="B918:D918"/>
    <mergeCell ref="I918:J918"/>
    <mergeCell ref="K918:L918"/>
    <mergeCell ref="A919:D919"/>
    <mergeCell ref="I919:J919"/>
    <mergeCell ref="K919:L919"/>
    <mergeCell ref="A920:D920"/>
    <mergeCell ref="I920:J920"/>
    <mergeCell ref="K920:L920"/>
    <mergeCell ref="B921:D921"/>
    <mergeCell ref="I921:J921"/>
    <mergeCell ref="K921:L921"/>
    <mergeCell ref="B922:D922"/>
    <mergeCell ref="I922:J922"/>
    <mergeCell ref="K922:L922"/>
    <mergeCell ref="B923:D923"/>
    <mergeCell ref="I923:J923"/>
    <mergeCell ref="K923:L923"/>
    <mergeCell ref="A924:D924"/>
    <mergeCell ref="I924:J924"/>
    <mergeCell ref="K924:L924"/>
    <mergeCell ref="A925:D925"/>
    <mergeCell ref="I925:J925"/>
    <mergeCell ref="K925:L925"/>
    <mergeCell ref="B926:D926"/>
    <mergeCell ref="I926:J926"/>
    <mergeCell ref="K926:L926"/>
    <mergeCell ref="B927:D927"/>
    <mergeCell ref="I927:J927"/>
    <mergeCell ref="K927:L927"/>
    <mergeCell ref="B928:D928"/>
    <mergeCell ref="I928:J928"/>
    <mergeCell ref="K928:L928"/>
    <mergeCell ref="A929:D929"/>
    <mergeCell ref="I929:J929"/>
    <mergeCell ref="K929:L929"/>
    <mergeCell ref="A930:D930"/>
    <mergeCell ref="I930:J930"/>
    <mergeCell ref="K930:L930"/>
    <mergeCell ref="B931:D931"/>
    <mergeCell ref="I931:J931"/>
    <mergeCell ref="K931:L931"/>
    <mergeCell ref="B932:D932"/>
    <mergeCell ref="I932:J932"/>
    <mergeCell ref="K932:L932"/>
    <mergeCell ref="A933:D933"/>
    <mergeCell ref="I933:J933"/>
    <mergeCell ref="K933:L933"/>
    <mergeCell ref="B934:D934"/>
    <mergeCell ref="I934:J934"/>
    <mergeCell ref="K934:L934"/>
    <mergeCell ref="B935:D935"/>
    <mergeCell ref="I935:J935"/>
    <mergeCell ref="K935:L935"/>
    <mergeCell ref="B936:D936"/>
    <mergeCell ref="I936:J936"/>
    <mergeCell ref="K936:L936"/>
    <mergeCell ref="A937:D937"/>
    <mergeCell ref="I937:J937"/>
    <mergeCell ref="K937:L937"/>
    <mergeCell ref="A938:D938"/>
    <mergeCell ref="I938:J938"/>
    <mergeCell ref="K938:L938"/>
    <mergeCell ref="B939:D939"/>
    <mergeCell ref="I939:J939"/>
    <mergeCell ref="K939:L939"/>
    <mergeCell ref="B940:D940"/>
    <mergeCell ref="I940:J940"/>
    <mergeCell ref="K940:L940"/>
    <mergeCell ref="B941:D941"/>
    <mergeCell ref="I941:J941"/>
    <mergeCell ref="K941:L941"/>
    <mergeCell ref="A942:D942"/>
    <mergeCell ref="I942:J942"/>
    <mergeCell ref="K942:L942"/>
    <mergeCell ref="A943:D943"/>
    <mergeCell ref="I943:J943"/>
    <mergeCell ref="K943:L943"/>
    <mergeCell ref="B944:D944"/>
    <mergeCell ref="I944:J944"/>
    <mergeCell ref="K944:L944"/>
    <mergeCell ref="B945:D945"/>
    <mergeCell ref="I945:J945"/>
    <mergeCell ref="K945:L945"/>
    <mergeCell ref="B946:D946"/>
    <mergeCell ref="I946:J946"/>
    <mergeCell ref="K946:L946"/>
    <mergeCell ref="A947:D947"/>
    <mergeCell ref="I947:J947"/>
    <mergeCell ref="K947:L947"/>
    <mergeCell ref="B948:D948"/>
    <mergeCell ref="I948:J948"/>
    <mergeCell ref="K948:L948"/>
    <mergeCell ref="A949:D949"/>
    <mergeCell ref="I949:J949"/>
    <mergeCell ref="K949:L949"/>
    <mergeCell ref="A950:D950"/>
    <mergeCell ref="I950:J950"/>
    <mergeCell ref="K950:L950"/>
    <mergeCell ref="B951:D951"/>
    <mergeCell ref="I951:J951"/>
    <mergeCell ref="K951:L951"/>
    <mergeCell ref="B952:D952"/>
    <mergeCell ref="I952:J952"/>
    <mergeCell ref="K952:L952"/>
    <mergeCell ref="A953:D953"/>
    <mergeCell ref="I953:J953"/>
    <mergeCell ref="K953:L953"/>
    <mergeCell ref="B954:D954"/>
    <mergeCell ref="I954:J954"/>
    <mergeCell ref="K954:L954"/>
    <mergeCell ref="B955:D955"/>
    <mergeCell ref="I955:J955"/>
    <mergeCell ref="K955:L955"/>
    <mergeCell ref="B956:D956"/>
    <mergeCell ref="I956:J956"/>
    <mergeCell ref="K956:L956"/>
    <mergeCell ref="A957:D957"/>
    <mergeCell ref="I957:J957"/>
    <mergeCell ref="K957:L957"/>
    <mergeCell ref="A958:D958"/>
    <mergeCell ref="I958:J958"/>
    <mergeCell ref="K958:L958"/>
    <mergeCell ref="B959:D959"/>
    <mergeCell ref="I959:J959"/>
    <mergeCell ref="K959:L959"/>
    <mergeCell ref="B960:D960"/>
    <mergeCell ref="I960:J960"/>
    <mergeCell ref="K960:L960"/>
    <mergeCell ref="B961:D961"/>
    <mergeCell ref="I961:J961"/>
    <mergeCell ref="K961:L961"/>
    <mergeCell ref="A962:D962"/>
    <mergeCell ref="I962:J962"/>
    <mergeCell ref="K962:L962"/>
    <mergeCell ref="A963:D963"/>
    <mergeCell ref="I963:J963"/>
    <mergeCell ref="K963:L963"/>
    <mergeCell ref="B964:D964"/>
    <mergeCell ref="I964:J964"/>
    <mergeCell ref="K964:L964"/>
    <mergeCell ref="B965:D965"/>
    <mergeCell ref="I965:J965"/>
    <mergeCell ref="K965:L965"/>
    <mergeCell ref="B966:D966"/>
    <mergeCell ref="I966:J966"/>
    <mergeCell ref="K966:L966"/>
    <mergeCell ref="A967:D967"/>
    <mergeCell ref="I967:J967"/>
    <mergeCell ref="K967:L967"/>
    <mergeCell ref="A968:D968"/>
    <mergeCell ref="I968:J968"/>
    <mergeCell ref="K968:L968"/>
    <mergeCell ref="B969:D969"/>
    <mergeCell ref="I969:J969"/>
    <mergeCell ref="K969:L969"/>
    <mergeCell ref="B970:D970"/>
    <mergeCell ref="I970:J970"/>
    <mergeCell ref="K970:L970"/>
    <mergeCell ref="B971:D971"/>
    <mergeCell ref="I971:J971"/>
    <mergeCell ref="K971:L971"/>
    <mergeCell ref="A972:D972"/>
    <mergeCell ref="I972:J972"/>
    <mergeCell ref="K972:L972"/>
    <mergeCell ref="B973:D973"/>
    <mergeCell ref="I973:J973"/>
    <mergeCell ref="K973:L973"/>
    <mergeCell ref="A974:D974"/>
    <mergeCell ref="I974:J974"/>
    <mergeCell ref="K974:L974"/>
    <mergeCell ref="A975:D975"/>
    <mergeCell ref="I975:J975"/>
    <mergeCell ref="K975:L975"/>
    <mergeCell ref="B976:D976"/>
    <mergeCell ref="I976:J976"/>
    <mergeCell ref="K976:L976"/>
    <mergeCell ref="B977:D977"/>
    <mergeCell ref="I977:J977"/>
    <mergeCell ref="K977:L977"/>
    <mergeCell ref="B978:D978"/>
    <mergeCell ref="I978:J978"/>
    <mergeCell ref="K978:L978"/>
    <mergeCell ref="A979:D979"/>
    <mergeCell ref="I979:J979"/>
    <mergeCell ref="K979:L979"/>
    <mergeCell ref="A980:D980"/>
    <mergeCell ref="I980:J980"/>
    <mergeCell ref="K980:L980"/>
    <mergeCell ref="B981:D981"/>
    <mergeCell ref="I981:J981"/>
    <mergeCell ref="K981:L981"/>
    <mergeCell ref="B982:D982"/>
    <mergeCell ref="I982:J982"/>
    <mergeCell ref="K982:L982"/>
    <mergeCell ref="B983:D983"/>
    <mergeCell ref="I983:J983"/>
    <mergeCell ref="K983:L983"/>
    <mergeCell ref="A984:D984"/>
    <mergeCell ref="I984:J984"/>
    <mergeCell ref="K984:L984"/>
    <mergeCell ref="B985:D985"/>
    <mergeCell ref="I985:J985"/>
    <mergeCell ref="K985:L985"/>
    <mergeCell ref="A986:D986"/>
    <mergeCell ref="I986:J986"/>
    <mergeCell ref="K986:L986"/>
    <mergeCell ref="A987:D987"/>
    <mergeCell ref="I987:J987"/>
    <mergeCell ref="K987:L987"/>
    <mergeCell ref="B988:D988"/>
    <mergeCell ref="I988:J988"/>
    <mergeCell ref="K988:L988"/>
    <mergeCell ref="B989:D989"/>
    <mergeCell ref="I989:J989"/>
    <mergeCell ref="K989:L989"/>
    <mergeCell ref="B990:D990"/>
    <mergeCell ref="I990:J990"/>
    <mergeCell ref="K990:L990"/>
    <mergeCell ref="A991:D991"/>
    <mergeCell ref="I991:J991"/>
    <mergeCell ref="K991:L991"/>
    <mergeCell ref="B992:D992"/>
    <mergeCell ref="I992:J992"/>
    <mergeCell ref="K992:L992"/>
    <mergeCell ref="A993:D993"/>
    <mergeCell ref="I993:J993"/>
    <mergeCell ref="K993:L993"/>
    <mergeCell ref="A994:D994"/>
    <mergeCell ref="I994:J994"/>
    <mergeCell ref="K994:L994"/>
    <mergeCell ref="B995:D995"/>
    <mergeCell ref="I995:J995"/>
    <mergeCell ref="K995:L995"/>
    <mergeCell ref="B996:D996"/>
    <mergeCell ref="I996:J996"/>
    <mergeCell ref="K996:L996"/>
    <mergeCell ref="B997:D997"/>
    <mergeCell ref="I997:J997"/>
    <mergeCell ref="K997:L997"/>
    <mergeCell ref="A998:D998"/>
    <mergeCell ref="I998:J998"/>
    <mergeCell ref="K998:L998"/>
    <mergeCell ref="A999:D999"/>
    <mergeCell ref="I999:J999"/>
    <mergeCell ref="K999:L999"/>
    <mergeCell ref="B1000:D1000"/>
    <mergeCell ref="I1000:J1000"/>
    <mergeCell ref="K1000:L1000"/>
    <mergeCell ref="B1001:D1001"/>
    <mergeCell ref="I1001:J1001"/>
    <mergeCell ref="K1001:L1001"/>
    <mergeCell ref="B1002:D1002"/>
    <mergeCell ref="I1002:J1002"/>
    <mergeCell ref="K1002:L1002"/>
    <mergeCell ref="A1003:D1003"/>
    <mergeCell ref="I1003:J1003"/>
    <mergeCell ref="K1003:L1003"/>
    <mergeCell ref="B1004:D1004"/>
    <mergeCell ref="I1004:J1004"/>
    <mergeCell ref="K1004:L1004"/>
    <mergeCell ref="A1005:D1005"/>
    <mergeCell ref="I1005:J1005"/>
    <mergeCell ref="K1005:L1005"/>
    <mergeCell ref="A1006:D1006"/>
    <mergeCell ref="I1006:J1006"/>
    <mergeCell ref="K1006:L1006"/>
    <mergeCell ref="B1007:D1007"/>
    <mergeCell ref="I1007:J1007"/>
    <mergeCell ref="K1007:L1007"/>
    <mergeCell ref="B1008:D1008"/>
    <mergeCell ref="I1008:J1008"/>
    <mergeCell ref="K1008:L1008"/>
    <mergeCell ref="B1009:D1009"/>
    <mergeCell ref="I1009:J1009"/>
    <mergeCell ref="K1009:L1009"/>
    <mergeCell ref="A1010:D1010"/>
    <mergeCell ref="I1010:J1010"/>
    <mergeCell ref="K1010:L1010"/>
    <mergeCell ref="B1011:D1011"/>
    <mergeCell ref="I1011:J1011"/>
    <mergeCell ref="K1011:L1011"/>
    <mergeCell ref="A1012:D1012"/>
    <mergeCell ref="I1012:J1012"/>
    <mergeCell ref="K1012:L1012"/>
    <mergeCell ref="A1013:D1013"/>
    <mergeCell ref="I1013:J1013"/>
    <mergeCell ref="K1013:L1013"/>
    <mergeCell ref="B1014:D1014"/>
    <mergeCell ref="I1014:J1014"/>
    <mergeCell ref="K1014:L1014"/>
    <mergeCell ref="B1015:D1015"/>
    <mergeCell ref="I1015:J1015"/>
    <mergeCell ref="K1015:L1015"/>
    <mergeCell ref="B1016:D1016"/>
    <mergeCell ref="I1016:J1016"/>
    <mergeCell ref="K1016:L1016"/>
    <mergeCell ref="A1017:D1017"/>
    <mergeCell ref="I1017:J1017"/>
    <mergeCell ref="K1017:L1017"/>
    <mergeCell ref="A1018:D1018"/>
    <mergeCell ref="I1018:J1018"/>
    <mergeCell ref="K1018:L1018"/>
    <mergeCell ref="B1019:D1019"/>
    <mergeCell ref="I1019:J1019"/>
    <mergeCell ref="K1019:L1019"/>
    <mergeCell ref="B1020:D1020"/>
    <mergeCell ref="I1020:J1020"/>
    <mergeCell ref="K1020:L1020"/>
    <mergeCell ref="B1021:D1021"/>
    <mergeCell ref="I1021:J1021"/>
    <mergeCell ref="K1021:L1021"/>
    <mergeCell ref="A1022:D1022"/>
    <mergeCell ref="I1022:J1022"/>
    <mergeCell ref="K1022:L1022"/>
    <mergeCell ref="A1023:D1023"/>
    <mergeCell ref="I1023:J1023"/>
    <mergeCell ref="K1023:L1023"/>
    <mergeCell ref="B1024:D1024"/>
    <mergeCell ref="I1024:J1024"/>
    <mergeCell ref="K1024:L1024"/>
    <mergeCell ref="B1025:D1025"/>
    <mergeCell ref="I1025:J1025"/>
    <mergeCell ref="K1025:L1025"/>
    <mergeCell ref="B1026:D1026"/>
    <mergeCell ref="I1026:J1026"/>
    <mergeCell ref="K1026:L1026"/>
    <mergeCell ref="A1027:D1027"/>
    <mergeCell ref="I1027:J1027"/>
    <mergeCell ref="K1027:L1027"/>
    <mergeCell ref="A1028:D1028"/>
    <mergeCell ref="I1028:J1028"/>
    <mergeCell ref="K1028:L1028"/>
    <mergeCell ref="B1029:D1029"/>
    <mergeCell ref="I1029:J1029"/>
    <mergeCell ref="K1029:L1029"/>
    <mergeCell ref="B1030:D1030"/>
    <mergeCell ref="I1030:J1030"/>
    <mergeCell ref="K1030:L1030"/>
    <mergeCell ref="B1031:D1031"/>
    <mergeCell ref="I1031:J1031"/>
    <mergeCell ref="K1031:L1031"/>
    <mergeCell ref="A1032:D1032"/>
    <mergeCell ref="I1032:J1032"/>
    <mergeCell ref="K1032:L1032"/>
    <mergeCell ref="A1033:D1033"/>
    <mergeCell ref="I1033:J1033"/>
    <mergeCell ref="K1033:L1033"/>
    <mergeCell ref="B1034:D1034"/>
    <mergeCell ref="I1034:J1034"/>
    <mergeCell ref="K1034:L1034"/>
    <mergeCell ref="B1035:D1035"/>
    <mergeCell ref="I1035:J1035"/>
    <mergeCell ref="K1035:L1035"/>
    <mergeCell ref="B1036:D1036"/>
    <mergeCell ref="I1036:J1036"/>
    <mergeCell ref="K1036:L1036"/>
    <mergeCell ref="A1037:D1037"/>
    <mergeCell ref="I1037:J1037"/>
    <mergeCell ref="K1037:L1037"/>
    <mergeCell ref="B1038:D1038"/>
    <mergeCell ref="I1038:J1038"/>
    <mergeCell ref="K1038:L1038"/>
    <mergeCell ref="A1039:D1039"/>
    <mergeCell ref="I1039:J1039"/>
    <mergeCell ref="K1039:L1039"/>
    <mergeCell ref="B1040:D1040"/>
    <mergeCell ref="I1040:J1040"/>
    <mergeCell ref="K1040:L1040"/>
    <mergeCell ref="A1041:D1041"/>
    <mergeCell ref="I1041:J1041"/>
    <mergeCell ref="K1041:L1041"/>
    <mergeCell ref="A1042:D1042"/>
    <mergeCell ref="I1042:J1042"/>
    <mergeCell ref="K1042:L1042"/>
    <mergeCell ref="B1043:D1043"/>
    <mergeCell ref="I1043:J1043"/>
    <mergeCell ref="K1043:L1043"/>
    <mergeCell ref="B1044:D1044"/>
    <mergeCell ref="I1044:J1044"/>
    <mergeCell ref="K1044:L1044"/>
    <mergeCell ref="B1045:D1045"/>
    <mergeCell ref="I1045:J1045"/>
    <mergeCell ref="K1045:L1045"/>
    <mergeCell ref="A1046:D1046"/>
    <mergeCell ref="I1046:J1046"/>
    <mergeCell ref="K1046:L1046"/>
    <mergeCell ref="B1047:D1047"/>
    <mergeCell ref="I1047:J1047"/>
    <mergeCell ref="K1047:L1047"/>
    <mergeCell ref="A1048:D1048"/>
    <mergeCell ref="I1048:J1048"/>
    <mergeCell ref="K1048:L1048"/>
    <mergeCell ref="A1049:D1049"/>
    <mergeCell ref="I1049:J1049"/>
    <mergeCell ref="K1049:L1049"/>
    <mergeCell ref="B1050:D1050"/>
    <mergeCell ref="I1050:J1050"/>
    <mergeCell ref="K1050:L1050"/>
    <mergeCell ref="B1051:D1051"/>
    <mergeCell ref="I1051:J1051"/>
    <mergeCell ref="K1051:L1051"/>
    <mergeCell ref="A1052:D1052"/>
    <mergeCell ref="I1052:J1052"/>
    <mergeCell ref="K1052:L1052"/>
    <mergeCell ref="B1053:D1053"/>
    <mergeCell ref="I1053:J1053"/>
    <mergeCell ref="K1053:L1053"/>
    <mergeCell ref="B1054:D1054"/>
    <mergeCell ref="I1054:J1054"/>
    <mergeCell ref="K1054:L1054"/>
    <mergeCell ref="B1055:D1055"/>
    <mergeCell ref="I1055:J1055"/>
    <mergeCell ref="K1055:L1055"/>
    <mergeCell ref="A1056:D1056"/>
    <mergeCell ref="I1056:J1056"/>
    <mergeCell ref="K1056:L1056"/>
    <mergeCell ref="A1057:D1057"/>
    <mergeCell ref="I1057:J1057"/>
    <mergeCell ref="K1057:L1057"/>
    <mergeCell ref="B1058:D1058"/>
    <mergeCell ref="I1058:J1058"/>
    <mergeCell ref="K1058:L1058"/>
    <mergeCell ref="B1059:D1059"/>
    <mergeCell ref="I1059:J1059"/>
    <mergeCell ref="K1059:L1059"/>
    <mergeCell ref="B1060:D1060"/>
    <mergeCell ref="I1060:J1060"/>
    <mergeCell ref="K1060:L1060"/>
    <mergeCell ref="A1061:D1061"/>
    <mergeCell ref="I1061:J1061"/>
    <mergeCell ref="K1061:L1061"/>
    <mergeCell ref="A1062:D1062"/>
    <mergeCell ref="I1062:J1062"/>
    <mergeCell ref="K1062:L1062"/>
    <mergeCell ref="B1063:D1063"/>
    <mergeCell ref="I1063:J1063"/>
    <mergeCell ref="K1063:L1063"/>
    <mergeCell ref="B1064:D1064"/>
    <mergeCell ref="I1064:J1064"/>
    <mergeCell ref="K1064:L1064"/>
    <mergeCell ref="B1065:D1065"/>
    <mergeCell ref="I1065:J1065"/>
    <mergeCell ref="K1065:L1065"/>
    <mergeCell ref="A1066:D1066"/>
    <mergeCell ref="I1066:J1066"/>
    <mergeCell ref="K1066:L1066"/>
    <mergeCell ref="B1067:D1067"/>
    <mergeCell ref="I1067:J1067"/>
    <mergeCell ref="K1067:L1067"/>
    <mergeCell ref="A1068:D1068"/>
    <mergeCell ref="I1068:J1068"/>
    <mergeCell ref="K1068:L1068"/>
    <mergeCell ref="A1069:D1069"/>
    <mergeCell ref="I1069:J1069"/>
    <mergeCell ref="K1069:L1069"/>
    <mergeCell ref="B1070:D1070"/>
    <mergeCell ref="I1070:J1070"/>
    <mergeCell ref="K1070:L1070"/>
    <mergeCell ref="B1071:D1071"/>
    <mergeCell ref="I1071:J1071"/>
    <mergeCell ref="K1071:L1071"/>
    <mergeCell ref="B1072:D1072"/>
    <mergeCell ref="I1072:J1072"/>
    <mergeCell ref="K1072:L1072"/>
    <mergeCell ref="A1073:D1073"/>
    <mergeCell ref="I1073:J1073"/>
    <mergeCell ref="K1073:L1073"/>
    <mergeCell ref="A1074:D1074"/>
    <mergeCell ref="I1074:J1074"/>
    <mergeCell ref="K1074:L1074"/>
    <mergeCell ref="B1075:D1075"/>
    <mergeCell ref="I1075:J1075"/>
    <mergeCell ref="K1075:L1075"/>
    <mergeCell ref="B1076:D1076"/>
    <mergeCell ref="I1076:J1076"/>
    <mergeCell ref="K1076:L1076"/>
    <mergeCell ref="A1077:D1077"/>
    <mergeCell ref="I1077:J1077"/>
    <mergeCell ref="K1077:L1077"/>
    <mergeCell ref="B1078:D1078"/>
    <mergeCell ref="I1078:J1078"/>
    <mergeCell ref="K1078:L1078"/>
    <mergeCell ref="B1079:D1079"/>
    <mergeCell ref="I1079:J1079"/>
    <mergeCell ref="K1079:L1079"/>
    <mergeCell ref="B1080:D1080"/>
    <mergeCell ref="I1080:J1080"/>
    <mergeCell ref="K1080:L1080"/>
    <mergeCell ref="A1081:D1081"/>
    <mergeCell ref="I1081:J1081"/>
    <mergeCell ref="K1081:L1081"/>
    <mergeCell ref="A1082:D1082"/>
    <mergeCell ref="I1082:J1082"/>
    <mergeCell ref="K1082:L1082"/>
    <mergeCell ref="B1083:D1083"/>
    <mergeCell ref="I1083:J1083"/>
    <mergeCell ref="K1083:L1083"/>
    <mergeCell ref="B1084:D1084"/>
    <mergeCell ref="I1084:J1084"/>
    <mergeCell ref="K1084:L1084"/>
    <mergeCell ref="B1085:D1085"/>
    <mergeCell ref="I1085:J1085"/>
    <mergeCell ref="K1085:L1085"/>
    <mergeCell ref="A1086:D1086"/>
    <mergeCell ref="I1086:J1086"/>
    <mergeCell ref="K1086:L1086"/>
    <mergeCell ref="A1087:D1087"/>
    <mergeCell ref="I1087:J1087"/>
    <mergeCell ref="K1087:L1087"/>
    <mergeCell ref="B1088:D1088"/>
    <mergeCell ref="I1088:J1088"/>
    <mergeCell ref="K1088:L1088"/>
    <mergeCell ref="B1089:D1089"/>
    <mergeCell ref="I1089:J1089"/>
    <mergeCell ref="K1089:L1089"/>
    <mergeCell ref="B1090:D1090"/>
    <mergeCell ref="I1090:J1090"/>
    <mergeCell ref="K1090:L1090"/>
    <mergeCell ref="A1091:D1091"/>
    <mergeCell ref="I1091:J1091"/>
    <mergeCell ref="K1091:L1091"/>
    <mergeCell ref="A1092:D1092"/>
    <mergeCell ref="I1092:J1092"/>
    <mergeCell ref="K1092:L1092"/>
    <mergeCell ref="B1093:D1093"/>
    <mergeCell ref="I1093:J1093"/>
    <mergeCell ref="K1093:L1093"/>
    <mergeCell ref="B1094:D1094"/>
    <mergeCell ref="I1094:J1094"/>
    <mergeCell ref="K1094:L1094"/>
    <mergeCell ref="B1095:D1095"/>
    <mergeCell ref="I1095:J1095"/>
    <mergeCell ref="K1095:L1095"/>
    <mergeCell ref="A1096:D1096"/>
    <mergeCell ref="I1096:J1096"/>
    <mergeCell ref="K1096:L1096"/>
    <mergeCell ref="A1097:D1097"/>
    <mergeCell ref="I1097:J1097"/>
    <mergeCell ref="K1097:L1097"/>
    <mergeCell ref="B1098:D1098"/>
    <mergeCell ref="I1098:J1098"/>
    <mergeCell ref="K1098:L1098"/>
    <mergeCell ref="B1099:D1099"/>
    <mergeCell ref="I1099:J1099"/>
    <mergeCell ref="K1099:L1099"/>
    <mergeCell ref="A1100:D1100"/>
    <mergeCell ref="I1100:J1100"/>
    <mergeCell ref="K1100:L1100"/>
    <mergeCell ref="B1101:D1101"/>
    <mergeCell ref="I1101:J1101"/>
    <mergeCell ref="K1101:L1101"/>
    <mergeCell ref="B1102:D1102"/>
    <mergeCell ref="I1102:J1102"/>
    <mergeCell ref="K1102:L1102"/>
    <mergeCell ref="B1103:D1103"/>
    <mergeCell ref="I1103:J1103"/>
    <mergeCell ref="K1103:L1103"/>
    <mergeCell ref="A1104:D1104"/>
    <mergeCell ref="I1104:J1104"/>
    <mergeCell ref="K1104:L1104"/>
    <mergeCell ref="A1105:D1105"/>
    <mergeCell ref="I1105:J1105"/>
    <mergeCell ref="K1105:L1105"/>
    <mergeCell ref="B1106:D1106"/>
    <mergeCell ref="I1106:J1106"/>
    <mergeCell ref="K1106:L1106"/>
    <mergeCell ref="B1107:D1107"/>
    <mergeCell ref="I1107:J1107"/>
    <mergeCell ref="K1107:L1107"/>
    <mergeCell ref="B1108:D1108"/>
    <mergeCell ref="I1108:J1108"/>
    <mergeCell ref="K1108:L1108"/>
    <mergeCell ref="A1109:D1109"/>
    <mergeCell ref="I1109:J1109"/>
    <mergeCell ref="K1109:L1109"/>
    <mergeCell ref="A1110:D1110"/>
    <mergeCell ref="I1110:J1110"/>
    <mergeCell ref="K1110:L1110"/>
    <mergeCell ref="B1111:D1111"/>
    <mergeCell ref="I1111:J1111"/>
    <mergeCell ref="K1111:L1111"/>
    <mergeCell ref="B1112:D1112"/>
    <mergeCell ref="I1112:J1112"/>
    <mergeCell ref="K1112:L1112"/>
    <mergeCell ref="B1113:D1113"/>
    <mergeCell ref="I1113:J1113"/>
    <mergeCell ref="K1113:L1113"/>
    <mergeCell ref="A1114:D1114"/>
    <mergeCell ref="I1114:J1114"/>
    <mergeCell ref="K1114:L1114"/>
    <mergeCell ref="A1115:D1115"/>
    <mergeCell ref="I1115:J1115"/>
    <mergeCell ref="K1115:L1115"/>
    <mergeCell ref="B1116:D1116"/>
    <mergeCell ref="I1116:J1116"/>
    <mergeCell ref="K1116:L1116"/>
    <mergeCell ref="B1117:D1117"/>
    <mergeCell ref="I1117:J1117"/>
    <mergeCell ref="K1117:L1117"/>
    <mergeCell ref="B1118:D1118"/>
    <mergeCell ref="I1118:J1118"/>
    <mergeCell ref="K1118:L1118"/>
    <mergeCell ref="A1119:D1119"/>
    <mergeCell ref="I1119:J1119"/>
    <mergeCell ref="K1119:L1119"/>
    <mergeCell ref="A1120:D1120"/>
    <mergeCell ref="I1120:J1120"/>
    <mergeCell ref="K1120:L1120"/>
    <mergeCell ref="B1121:D1121"/>
    <mergeCell ref="I1121:J1121"/>
    <mergeCell ref="K1121:L1121"/>
    <mergeCell ref="B1122:D1122"/>
    <mergeCell ref="I1122:J1122"/>
    <mergeCell ref="K1122:L1122"/>
    <mergeCell ref="B1123:D1123"/>
    <mergeCell ref="I1123:J1123"/>
    <mergeCell ref="K1123:L1123"/>
    <mergeCell ref="A1124:D1124"/>
    <mergeCell ref="I1124:J1124"/>
    <mergeCell ref="K1124:L1124"/>
    <mergeCell ref="A1125:D1125"/>
    <mergeCell ref="I1125:J1125"/>
    <mergeCell ref="K1125:L1125"/>
    <mergeCell ref="B1126:D1126"/>
    <mergeCell ref="I1126:J1126"/>
    <mergeCell ref="K1126:L1126"/>
    <mergeCell ref="B1127:D1127"/>
    <mergeCell ref="I1127:J1127"/>
    <mergeCell ref="K1127:L1127"/>
    <mergeCell ref="B1128:D1128"/>
    <mergeCell ref="I1128:J1128"/>
    <mergeCell ref="K1128:L1128"/>
    <mergeCell ref="A1129:D1129"/>
    <mergeCell ref="I1129:J1129"/>
    <mergeCell ref="K1129:L1129"/>
    <mergeCell ref="A1130:D1130"/>
    <mergeCell ref="I1130:J1130"/>
    <mergeCell ref="K1130:L1130"/>
    <mergeCell ref="B1131:D1131"/>
    <mergeCell ref="I1131:J1131"/>
    <mergeCell ref="K1131:L1131"/>
    <mergeCell ref="B1132:D1132"/>
    <mergeCell ref="I1132:J1132"/>
    <mergeCell ref="K1132:L1132"/>
    <mergeCell ref="B1133:D1133"/>
    <mergeCell ref="I1133:J1133"/>
    <mergeCell ref="K1133:L1133"/>
    <mergeCell ref="A1134:D1134"/>
    <mergeCell ref="I1134:J1134"/>
    <mergeCell ref="K1134:L1134"/>
    <mergeCell ref="A1135:D1135"/>
    <mergeCell ref="I1135:J1135"/>
    <mergeCell ref="K1135:L1135"/>
    <mergeCell ref="B1136:D1136"/>
    <mergeCell ref="I1136:J1136"/>
    <mergeCell ref="K1136:L1136"/>
    <mergeCell ref="B1137:D1137"/>
    <mergeCell ref="I1137:J1137"/>
    <mergeCell ref="K1137:L1137"/>
    <mergeCell ref="B1138:D1138"/>
    <mergeCell ref="I1138:J1138"/>
    <mergeCell ref="K1138:L1138"/>
    <mergeCell ref="A1139:D1139"/>
    <mergeCell ref="I1139:J1139"/>
    <mergeCell ref="K1139:L1139"/>
    <mergeCell ref="A1140:D1140"/>
    <mergeCell ref="I1140:J1140"/>
    <mergeCell ref="K1140:L1140"/>
    <mergeCell ref="B1141:D1141"/>
    <mergeCell ref="I1141:J1141"/>
    <mergeCell ref="K1141:L1141"/>
    <mergeCell ref="B1142:D1142"/>
    <mergeCell ref="I1142:J1142"/>
    <mergeCell ref="K1142:L1142"/>
    <mergeCell ref="B1143:D1143"/>
    <mergeCell ref="I1143:J1143"/>
    <mergeCell ref="K1143:L1143"/>
    <mergeCell ref="A1144:D1144"/>
    <mergeCell ref="I1144:J1144"/>
    <mergeCell ref="K1144:L1144"/>
    <mergeCell ref="B1145:D1145"/>
    <mergeCell ref="I1145:J1145"/>
    <mergeCell ref="K1145:L1145"/>
    <mergeCell ref="A1146:D1146"/>
    <mergeCell ref="I1146:J1146"/>
    <mergeCell ref="K1146:L1146"/>
    <mergeCell ref="A1147:D1147"/>
    <mergeCell ref="I1147:J1147"/>
    <mergeCell ref="K1147:L1147"/>
    <mergeCell ref="B1148:D1148"/>
    <mergeCell ref="I1148:J1148"/>
    <mergeCell ref="K1148:L1148"/>
    <mergeCell ref="B1149:D1149"/>
    <mergeCell ref="I1149:J1149"/>
    <mergeCell ref="K1149:L1149"/>
    <mergeCell ref="B1150:D1150"/>
    <mergeCell ref="I1150:J1150"/>
    <mergeCell ref="K1150:L1150"/>
    <mergeCell ref="A1151:D1151"/>
    <mergeCell ref="I1151:J1151"/>
    <mergeCell ref="K1151:L1151"/>
    <mergeCell ref="A1152:D1152"/>
    <mergeCell ref="I1152:J1152"/>
    <mergeCell ref="K1152:L1152"/>
    <mergeCell ref="B1153:D1153"/>
    <mergeCell ref="I1153:J1153"/>
    <mergeCell ref="K1153:L1153"/>
    <mergeCell ref="B1154:D1154"/>
    <mergeCell ref="I1154:J1154"/>
    <mergeCell ref="K1154:L1154"/>
    <mergeCell ref="B1155:D1155"/>
    <mergeCell ref="I1155:J1155"/>
    <mergeCell ref="K1155:L1155"/>
    <mergeCell ref="A1156:D1156"/>
    <mergeCell ref="I1156:J1156"/>
    <mergeCell ref="K1156:L1156"/>
    <mergeCell ref="B1157:D1157"/>
    <mergeCell ref="I1157:J1157"/>
    <mergeCell ref="K1157:L1157"/>
    <mergeCell ref="A1158:D1158"/>
    <mergeCell ref="I1158:J1158"/>
    <mergeCell ref="K1158:L1158"/>
    <mergeCell ref="A1159:D1159"/>
    <mergeCell ref="I1159:J1159"/>
    <mergeCell ref="K1159:L1159"/>
    <mergeCell ref="B1160:D1160"/>
    <mergeCell ref="I1160:J1160"/>
    <mergeCell ref="K1160:L1160"/>
    <mergeCell ref="B1161:D1161"/>
    <mergeCell ref="I1161:J1161"/>
    <mergeCell ref="K1161:L1161"/>
    <mergeCell ref="B1162:D1162"/>
    <mergeCell ref="I1162:J1162"/>
    <mergeCell ref="K1162:L1162"/>
    <mergeCell ref="A1163:D1163"/>
    <mergeCell ref="I1163:J1163"/>
    <mergeCell ref="K1163:L1163"/>
    <mergeCell ref="B1164:D1164"/>
    <mergeCell ref="I1164:J1164"/>
    <mergeCell ref="K1164:L1164"/>
    <mergeCell ref="A1165:D1165"/>
    <mergeCell ref="I1165:J1165"/>
    <mergeCell ref="K1165:L1165"/>
    <mergeCell ref="A1166:D1166"/>
    <mergeCell ref="I1166:J1166"/>
    <mergeCell ref="K1166:L1166"/>
    <mergeCell ref="B1167:D1167"/>
    <mergeCell ref="I1167:J1167"/>
    <mergeCell ref="K1167:L1167"/>
    <mergeCell ref="B1168:D1168"/>
    <mergeCell ref="I1168:J1168"/>
    <mergeCell ref="K1168:L1168"/>
    <mergeCell ref="B1169:D1169"/>
    <mergeCell ref="I1169:J1169"/>
    <mergeCell ref="K1169:L1169"/>
    <mergeCell ref="A1170:D1170"/>
    <mergeCell ref="I1170:J1170"/>
    <mergeCell ref="K1170:L1170"/>
    <mergeCell ref="A1171:D1171"/>
    <mergeCell ref="I1171:J1171"/>
    <mergeCell ref="K1171:L1171"/>
    <mergeCell ref="B1172:D1172"/>
    <mergeCell ref="I1172:J1172"/>
    <mergeCell ref="K1172:L1172"/>
    <mergeCell ref="B1173:D1173"/>
    <mergeCell ref="I1173:J1173"/>
    <mergeCell ref="K1173:L1173"/>
    <mergeCell ref="A1174:D1174"/>
    <mergeCell ref="I1174:J1174"/>
    <mergeCell ref="K1174:L1174"/>
    <mergeCell ref="B1175:D1175"/>
    <mergeCell ref="I1175:J1175"/>
    <mergeCell ref="K1175:L1175"/>
    <mergeCell ref="B1176:D1176"/>
    <mergeCell ref="I1176:J1176"/>
    <mergeCell ref="K1176:L1176"/>
    <mergeCell ref="B1177:D1177"/>
    <mergeCell ref="I1177:J1177"/>
    <mergeCell ref="K1177:L1177"/>
    <mergeCell ref="A1178:D1178"/>
    <mergeCell ref="I1178:J1178"/>
    <mergeCell ref="K1178:L1178"/>
    <mergeCell ref="A1179:D1179"/>
    <mergeCell ref="I1179:J1179"/>
    <mergeCell ref="K1179:L1179"/>
    <mergeCell ref="B1180:D1180"/>
    <mergeCell ref="I1180:J1180"/>
    <mergeCell ref="K1180:L1180"/>
    <mergeCell ref="B1181:D1181"/>
    <mergeCell ref="I1181:J1181"/>
    <mergeCell ref="K1181:L1181"/>
    <mergeCell ref="B1182:D1182"/>
    <mergeCell ref="I1182:J1182"/>
    <mergeCell ref="K1182:L1182"/>
    <mergeCell ref="A1183:D1183"/>
    <mergeCell ref="I1183:J1183"/>
    <mergeCell ref="K1183:L1183"/>
    <mergeCell ref="A1184:D1184"/>
    <mergeCell ref="I1184:J1184"/>
    <mergeCell ref="K1184:L1184"/>
    <mergeCell ref="B1185:D1185"/>
    <mergeCell ref="I1185:J1185"/>
    <mergeCell ref="K1185:L1185"/>
    <mergeCell ref="B1186:D1186"/>
    <mergeCell ref="I1186:J1186"/>
    <mergeCell ref="K1186:L1186"/>
    <mergeCell ref="B1187:D1187"/>
    <mergeCell ref="I1187:J1187"/>
    <mergeCell ref="K1187:L1187"/>
    <mergeCell ref="A1188:D1188"/>
    <mergeCell ref="I1188:J1188"/>
    <mergeCell ref="K1188:L1188"/>
    <mergeCell ref="B1189:D1189"/>
    <mergeCell ref="I1189:J1189"/>
    <mergeCell ref="K1189:L1189"/>
    <mergeCell ref="A1190:D1190"/>
    <mergeCell ref="I1190:J1190"/>
    <mergeCell ref="K1190:L1190"/>
    <mergeCell ref="A1191:D1191"/>
    <mergeCell ref="I1191:J1191"/>
    <mergeCell ref="K1191:L1191"/>
    <mergeCell ref="B1192:D1192"/>
    <mergeCell ref="I1192:J1192"/>
    <mergeCell ref="K1192:L1192"/>
    <mergeCell ref="B1193:D1193"/>
    <mergeCell ref="I1193:J1193"/>
    <mergeCell ref="K1193:L1193"/>
    <mergeCell ref="A1194:D1194"/>
    <mergeCell ref="I1194:J1194"/>
    <mergeCell ref="K1194:L1194"/>
    <mergeCell ref="B1195:D1195"/>
    <mergeCell ref="I1195:J1195"/>
    <mergeCell ref="K1195:L1195"/>
    <mergeCell ref="B1196:D1196"/>
    <mergeCell ref="I1196:J1196"/>
    <mergeCell ref="K1196:L1196"/>
    <mergeCell ref="B1197:D1197"/>
    <mergeCell ref="I1197:J1197"/>
    <mergeCell ref="K1197:L1197"/>
    <mergeCell ref="A1198:D1198"/>
    <mergeCell ref="I1198:J1198"/>
    <mergeCell ref="K1198:L1198"/>
    <mergeCell ref="A1199:D1199"/>
    <mergeCell ref="I1199:J1199"/>
    <mergeCell ref="K1199:L1199"/>
    <mergeCell ref="B1200:D1200"/>
    <mergeCell ref="I1200:J1200"/>
    <mergeCell ref="K1200:L1200"/>
    <mergeCell ref="B1201:D1201"/>
    <mergeCell ref="I1201:J1201"/>
    <mergeCell ref="K1201:L1201"/>
    <mergeCell ref="B1202:D1202"/>
    <mergeCell ref="I1202:J1202"/>
    <mergeCell ref="K1202:L1202"/>
    <mergeCell ref="A1203:D1203"/>
    <mergeCell ref="I1203:J1203"/>
    <mergeCell ref="K1203:L1203"/>
    <mergeCell ref="B1204:D1204"/>
    <mergeCell ref="I1204:J1204"/>
    <mergeCell ref="K1204:L1204"/>
    <mergeCell ref="A1205:D1205"/>
    <mergeCell ref="I1205:J1205"/>
    <mergeCell ref="K1205:L1205"/>
    <mergeCell ref="A1206:D1206"/>
    <mergeCell ref="I1206:J1206"/>
    <mergeCell ref="K1206:L1206"/>
    <mergeCell ref="B1207:D1207"/>
    <mergeCell ref="I1207:J1207"/>
    <mergeCell ref="K1207:L1207"/>
    <mergeCell ref="B1208:D1208"/>
    <mergeCell ref="I1208:J1208"/>
    <mergeCell ref="K1208:L1208"/>
    <mergeCell ref="B1209:D1209"/>
    <mergeCell ref="I1209:J1209"/>
    <mergeCell ref="K1209:L1209"/>
    <mergeCell ref="A1210:D1210"/>
    <mergeCell ref="I1210:J1210"/>
    <mergeCell ref="K1210:L1210"/>
    <mergeCell ref="A1211:D1211"/>
    <mergeCell ref="I1211:J1211"/>
    <mergeCell ref="K1211:L1211"/>
    <mergeCell ref="B1212:D1212"/>
    <mergeCell ref="I1212:J1212"/>
    <mergeCell ref="K1212:L1212"/>
    <mergeCell ref="B1213:D1213"/>
    <mergeCell ref="I1213:J1213"/>
    <mergeCell ref="K1213:L1213"/>
    <mergeCell ref="B1214:D1214"/>
    <mergeCell ref="I1214:J1214"/>
    <mergeCell ref="K1214:L1214"/>
    <mergeCell ref="A1215:D1215"/>
    <mergeCell ref="I1215:J1215"/>
    <mergeCell ref="K1215:L1215"/>
    <mergeCell ref="A1216:D1216"/>
    <mergeCell ref="I1216:J1216"/>
    <mergeCell ref="K1216:L1216"/>
    <mergeCell ref="B1217:D1217"/>
    <mergeCell ref="I1217:J1217"/>
    <mergeCell ref="K1217:L1217"/>
    <mergeCell ref="B1218:D1218"/>
    <mergeCell ref="I1218:J1218"/>
    <mergeCell ref="K1218:L1218"/>
    <mergeCell ref="B1219:D1219"/>
    <mergeCell ref="I1219:J1219"/>
    <mergeCell ref="K1219:L1219"/>
    <mergeCell ref="A1220:D1220"/>
    <mergeCell ref="I1220:J1220"/>
    <mergeCell ref="K1220:L1220"/>
    <mergeCell ref="A1221:D1221"/>
    <mergeCell ref="I1221:J1221"/>
    <mergeCell ref="K1221:L1221"/>
    <mergeCell ref="B1222:D1222"/>
    <mergeCell ref="I1222:J1222"/>
    <mergeCell ref="K1222:L1222"/>
    <mergeCell ref="B1223:D1223"/>
    <mergeCell ref="I1223:J1223"/>
    <mergeCell ref="K1223:L1223"/>
    <mergeCell ref="B1224:D1224"/>
    <mergeCell ref="I1224:J1224"/>
    <mergeCell ref="K1224:L1224"/>
    <mergeCell ref="A1225:D1225"/>
    <mergeCell ref="I1225:J1225"/>
    <mergeCell ref="K1225:L1225"/>
    <mergeCell ref="A1226:D1226"/>
    <mergeCell ref="I1226:J1226"/>
    <mergeCell ref="K1226:L1226"/>
    <mergeCell ref="B1227:D1227"/>
    <mergeCell ref="I1227:J1227"/>
    <mergeCell ref="K1227:L1227"/>
    <mergeCell ref="B1228:D1228"/>
    <mergeCell ref="I1228:J1228"/>
    <mergeCell ref="K1228:L1228"/>
    <mergeCell ref="B1229:D1229"/>
    <mergeCell ref="I1229:J1229"/>
    <mergeCell ref="K1229:L1229"/>
    <mergeCell ref="A1230:D1230"/>
    <mergeCell ref="I1230:J1230"/>
    <mergeCell ref="K1230:L1230"/>
    <mergeCell ref="A1231:D1231"/>
    <mergeCell ref="I1231:J1231"/>
    <mergeCell ref="K1231:L1231"/>
    <mergeCell ref="B1232:D1232"/>
    <mergeCell ref="I1232:J1232"/>
    <mergeCell ref="K1232:L1232"/>
    <mergeCell ref="B1233:D1233"/>
    <mergeCell ref="I1233:J1233"/>
    <mergeCell ref="K1233:L1233"/>
    <mergeCell ref="B1234:D1234"/>
    <mergeCell ref="I1234:J1234"/>
    <mergeCell ref="K1234:L1234"/>
    <mergeCell ref="A1235:D1235"/>
    <mergeCell ref="I1235:J1235"/>
    <mergeCell ref="K1235:L1235"/>
    <mergeCell ref="B1236:D1236"/>
    <mergeCell ref="I1236:J1236"/>
    <mergeCell ref="K1236:L1236"/>
    <mergeCell ref="A1237:D1237"/>
    <mergeCell ref="I1237:J1237"/>
    <mergeCell ref="K1237:L1237"/>
    <mergeCell ref="B1238:D1238"/>
    <mergeCell ref="I1238:J1238"/>
    <mergeCell ref="K1238:L1238"/>
    <mergeCell ref="A1239:D1239"/>
    <mergeCell ref="I1239:J1239"/>
    <mergeCell ref="K1239:L1239"/>
    <mergeCell ref="B1240:D1240"/>
    <mergeCell ref="I1240:J1240"/>
    <mergeCell ref="K1240:L1240"/>
    <mergeCell ref="A1241:D1241"/>
    <mergeCell ref="I1241:J1241"/>
    <mergeCell ref="K1241:L1241"/>
    <mergeCell ref="B1242:D1242"/>
    <mergeCell ref="I1242:J1242"/>
    <mergeCell ref="K1242:L1242"/>
    <mergeCell ref="A1243:D1243"/>
    <mergeCell ref="I1243:J1243"/>
    <mergeCell ref="K1243:L1243"/>
    <mergeCell ref="B1244:D1244"/>
    <mergeCell ref="I1244:J1244"/>
    <mergeCell ref="K1244:L1244"/>
    <mergeCell ref="A1245:D1245"/>
    <mergeCell ref="I1245:J1245"/>
    <mergeCell ref="K1245:L1245"/>
    <mergeCell ref="B1246:D1246"/>
    <mergeCell ref="I1246:J1246"/>
    <mergeCell ref="K1246:L1246"/>
    <mergeCell ref="A1247:D1247"/>
    <mergeCell ref="I1247:J1247"/>
    <mergeCell ref="K1247:L1247"/>
    <mergeCell ref="B1248:D1248"/>
    <mergeCell ref="I1248:J1248"/>
    <mergeCell ref="K1248:L1248"/>
    <mergeCell ref="A1249:D1249"/>
    <mergeCell ref="I1249:J1249"/>
    <mergeCell ref="K1249:L1249"/>
    <mergeCell ref="B1250:D1250"/>
    <mergeCell ref="I1250:J1250"/>
    <mergeCell ref="K1250:L1250"/>
    <mergeCell ref="A1251:D1251"/>
    <mergeCell ref="I1251:J1251"/>
    <mergeCell ref="K1251:L1251"/>
    <mergeCell ref="B1252:D1252"/>
    <mergeCell ref="I1252:J1252"/>
    <mergeCell ref="K1252:L1252"/>
    <mergeCell ref="A1253:D1253"/>
    <mergeCell ref="I1253:J1253"/>
    <mergeCell ref="K1253:L1253"/>
    <mergeCell ref="B1254:D1254"/>
    <mergeCell ref="I1254:J1254"/>
    <mergeCell ref="K1254:L1254"/>
    <mergeCell ref="A1255:D1255"/>
    <mergeCell ref="I1255:J1255"/>
    <mergeCell ref="K1255:L1255"/>
    <mergeCell ref="B1256:D1256"/>
    <mergeCell ref="I1256:J1256"/>
    <mergeCell ref="K1256:L1256"/>
    <mergeCell ref="A1257:D1257"/>
    <mergeCell ref="I1257:J1257"/>
    <mergeCell ref="K1257:L1257"/>
    <mergeCell ref="B1258:D1258"/>
    <mergeCell ref="I1258:J1258"/>
    <mergeCell ref="K1258:L1258"/>
    <mergeCell ref="A1259:D1259"/>
    <mergeCell ref="I1259:J1259"/>
    <mergeCell ref="K1259:L1259"/>
    <mergeCell ref="B1260:D1260"/>
    <mergeCell ref="I1260:J1260"/>
    <mergeCell ref="K1260:L1260"/>
    <mergeCell ref="A1261:D1261"/>
    <mergeCell ref="I1261:J1261"/>
    <mergeCell ref="K1261:L1261"/>
    <mergeCell ref="B1262:D1262"/>
    <mergeCell ref="I1262:J1262"/>
    <mergeCell ref="K1262:L1262"/>
    <mergeCell ref="A1263:D1263"/>
    <mergeCell ref="I1263:J1263"/>
    <mergeCell ref="K1263:L1263"/>
    <mergeCell ref="B1264:D1264"/>
    <mergeCell ref="I1264:J1264"/>
    <mergeCell ref="K1264:L1264"/>
    <mergeCell ref="A1265:D1265"/>
    <mergeCell ref="I1265:J1265"/>
    <mergeCell ref="K1265:L1265"/>
    <mergeCell ref="B1266:D1266"/>
    <mergeCell ref="I1266:J1266"/>
    <mergeCell ref="K1266:L1266"/>
    <mergeCell ref="A1267:D1267"/>
    <mergeCell ref="I1267:J1267"/>
    <mergeCell ref="K1267:L1267"/>
    <mergeCell ref="B1268:D1268"/>
    <mergeCell ref="I1268:J1268"/>
    <mergeCell ref="K1268:L1268"/>
    <mergeCell ref="A1269:D1269"/>
    <mergeCell ref="I1269:J1269"/>
    <mergeCell ref="K1269:L1269"/>
    <mergeCell ref="B1270:D1270"/>
    <mergeCell ref="I1270:J1270"/>
    <mergeCell ref="K1270:L1270"/>
    <mergeCell ref="A1271:D1271"/>
    <mergeCell ref="I1271:J1271"/>
    <mergeCell ref="K1271:L1271"/>
    <mergeCell ref="B1272:D1272"/>
    <mergeCell ref="I1272:J1272"/>
    <mergeCell ref="K1272:L1272"/>
    <mergeCell ref="A1273:D1273"/>
    <mergeCell ref="I1273:J1273"/>
    <mergeCell ref="K1273:L1273"/>
    <mergeCell ref="B1274:D1274"/>
    <mergeCell ref="I1274:J1274"/>
    <mergeCell ref="K1274:L1274"/>
    <mergeCell ref="A1275:D1275"/>
    <mergeCell ref="I1275:J1275"/>
    <mergeCell ref="K1275:L1275"/>
    <mergeCell ref="B1276:D1276"/>
    <mergeCell ref="I1276:J1276"/>
    <mergeCell ref="K1276:L1276"/>
    <mergeCell ref="A1277:D1277"/>
    <mergeCell ref="I1277:J1277"/>
    <mergeCell ref="K1277:L1277"/>
    <mergeCell ref="A1278:D1278"/>
    <mergeCell ref="I1278:J1278"/>
    <mergeCell ref="K1278:L1278"/>
    <mergeCell ref="B1279:D1279"/>
    <mergeCell ref="I1279:J1279"/>
    <mergeCell ref="K1279:L1279"/>
    <mergeCell ref="B1280:D1280"/>
    <mergeCell ref="I1280:J1280"/>
    <mergeCell ref="K1280:L1280"/>
    <mergeCell ref="B1281:D1281"/>
    <mergeCell ref="I1281:J1281"/>
    <mergeCell ref="K1281:L1281"/>
    <mergeCell ref="A1282:D1282"/>
    <mergeCell ref="I1282:J1282"/>
    <mergeCell ref="K1282:L1282"/>
    <mergeCell ref="A1283:D1283"/>
    <mergeCell ref="I1283:J1283"/>
    <mergeCell ref="K1283:L1283"/>
    <mergeCell ref="B1284:D1284"/>
    <mergeCell ref="I1284:J1284"/>
    <mergeCell ref="K1284:L1284"/>
    <mergeCell ref="B1285:D1285"/>
    <mergeCell ref="I1285:J1285"/>
    <mergeCell ref="K1285:L1285"/>
    <mergeCell ref="A1286:D1286"/>
    <mergeCell ref="I1286:J1286"/>
    <mergeCell ref="K1286:L1286"/>
    <mergeCell ref="B1287:D1287"/>
    <mergeCell ref="I1287:J1287"/>
    <mergeCell ref="K1287:L1287"/>
    <mergeCell ref="B1288:D1288"/>
    <mergeCell ref="I1288:J1288"/>
    <mergeCell ref="K1288:L1288"/>
    <mergeCell ref="B1289:D1289"/>
    <mergeCell ref="I1289:J1289"/>
    <mergeCell ref="K1289:L1289"/>
    <mergeCell ref="A1290:D1290"/>
    <mergeCell ref="I1290:J1290"/>
    <mergeCell ref="K1290:L1290"/>
    <mergeCell ref="A1291:D1291"/>
    <mergeCell ref="I1291:J1291"/>
    <mergeCell ref="K1291:L1291"/>
    <mergeCell ref="B1292:D1292"/>
    <mergeCell ref="I1292:J1292"/>
    <mergeCell ref="K1292:L1292"/>
    <mergeCell ref="B1293:D1293"/>
    <mergeCell ref="I1293:J1293"/>
    <mergeCell ref="K1293:L1293"/>
    <mergeCell ref="B1294:D1294"/>
    <mergeCell ref="I1294:J1294"/>
    <mergeCell ref="K1294:L1294"/>
    <mergeCell ref="A1295:D1295"/>
    <mergeCell ref="I1295:J1295"/>
    <mergeCell ref="K1295:L1295"/>
    <mergeCell ref="A1296:D1296"/>
    <mergeCell ref="I1296:J1296"/>
    <mergeCell ref="K1296:L1296"/>
    <mergeCell ref="B1297:D1297"/>
    <mergeCell ref="I1297:J1297"/>
    <mergeCell ref="K1297:L1297"/>
    <mergeCell ref="B1298:D1298"/>
    <mergeCell ref="I1298:J1298"/>
    <mergeCell ref="K1298:L1298"/>
    <mergeCell ref="B1299:D1299"/>
    <mergeCell ref="I1299:J1299"/>
    <mergeCell ref="K1299:L1299"/>
    <mergeCell ref="A1300:D1300"/>
    <mergeCell ref="I1300:J1300"/>
    <mergeCell ref="K1300:L1300"/>
    <mergeCell ref="A1301:D1301"/>
    <mergeCell ref="I1301:J1301"/>
    <mergeCell ref="K1301:L1301"/>
    <mergeCell ref="B1302:D1302"/>
    <mergeCell ref="I1302:J1302"/>
    <mergeCell ref="K1302:L1302"/>
    <mergeCell ref="B1303:D1303"/>
    <mergeCell ref="I1303:J1303"/>
    <mergeCell ref="K1303:L1303"/>
    <mergeCell ref="B1304:D1304"/>
    <mergeCell ref="I1304:J1304"/>
    <mergeCell ref="K1304:L1304"/>
    <mergeCell ref="A1305:D1305"/>
    <mergeCell ref="I1305:J1305"/>
    <mergeCell ref="K1305:L1305"/>
    <mergeCell ref="B1306:D1306"/>
    <mergeCell ref="I1306:J1306"/>
    <mergeCell ref="K1306:L1306"/>
    <mergeCell ref="A1307:D1307"/>
    <mergeCell ref="I1307:J1307"/>
    <mergeCell ref="K1307:L1307"/>
    <mergeCell ref="A1308:D1308"/>
    <mergeCell ref="I1308:J1308"/>
    <mergeCell ref="K1308:L1308"/>
    <mergeCell ref="B1309:D1309"/>
    <mergeCell ref="I1309:J1309"/>
    <mergeCell ref="K1309:L1309"/>
    <mergeCell ref="B1310:D1310"/>
    <mergeCell ref="I1310:J1310"/>
    <mergeCell ref="K1310:L1310"/>
    <mergeCell ref="B1311:D1311"/>
    <mergeCell ref="I1311:J1311"/>
    <mergeCell ref="K1311:L1311"/>
    <mergeCell ref="A1312:D1312"/>
    <mergeCell ref="I1312:J1312"/>
    <mergeCell ref="K1312:L1312"/>
    <mergeCell ref="B1313:D1313"/>
    <mergeCell ref="I1313:J1313"/>
    <mergeCell ref="K1313:L1313"/>
    <mergeCell ref="A1314:D1314"/>
    <mergeCell ref="I1314:J1314"/>
    <mergeCell ref="K1314:L1314"/>
    <mergeCell ref="B1315:D1315"/>
    <mergeCell ref="I1315:J1315"/>
    <mergeCell ref="K1315:L1315"/>
    <mergeCell ref="A1316:D1316"/>
    <mergeCell ref="I1316:J1316"/>
    <mergeCell ref="K1316:L1316"/>
    <mergeCell ref="A1317:D1317"/>
    <mergeCell ref="I1317:J1317"/>
    <mergeCell ref="K1317:L1317"/>
    <mergeCell ref="B1318:D1318"/>
    <mergeCell ref="I1318:J1318"/>
    <mergeCell ref="K1318:L1318"/>
    <mergeCell ref="B1319:D1319"/>
    <mergeCell ref="I1319:J1319"/>
    <mergeCell ref="K1319:L1319"/>
    <mergeCell ref="A1320:D1320"/>
    <mergeCell ref="I1320:J1320"/>
    <mergeCell ref="K1320:L1320"/>
    <mergeCell ref="B1321:D1321"/>
    <mergeCell ref="I1321:J1321"/>
    <mergeCell ref="K1321:L1321"/>
    <mergeCell ref="B1322:D1322"/>
    <mergeCell ref="I1322:J1322"/>
    <mergeCell ref="K1322:L1322"/>
    <mergeCell ref="B1323:D1323"/>
    <mergeCell ref="I1323:J1323"/>
    <mergeCell ref="K1323:L1323"/>
    <mergeCell ref="A1324:D1324"/>
    <mergeCell ref="I1324:J1324"/>
    <mergeCell ref="K1324:L1324"/>
    <mergeCell ref="A1325:D1325"/>
    <mergeCell ref="I1325:J1325"/>
    <mergeCell ref="K1325:L1325"/>
    <mergeCell ref="B1326:D1326"/>
    <mergeCell ref="I1326:J1326"/>
    <mergeCell ref="K1326:L1326"/>
    <mergeCell ref="B1327:D1327"/>
    <mergeCell ref="I1327:J1327"/>
    <mergeCell ref="K1327:L1327"/>
    <mergeCell ref="B1328:D1328"/>
    <mergeCell ref="I1328:J1328"/>
    <mergeCell ref="K1328:L1328"/>
    <mergeCell ref="A1329:D1329"/>
    <mergeCell ref="I1329:J1329"/>
    <mergeCell ref="K1329:L1329"/>
    <mergeCell ref="A1330:D1330"/>
    <mergeCell ref="I1330:J1330"/>
    <mergeCell ref="K1330:L1330"/>
    <mergeCell ref="B1331:D1331"/>
    <mergeCell ref="I1331:J1331"/>
    <mergeCell ref="K1331:L1331"/>
    <mergeCell ref="B1332:D1332"/>
    <mergeCell ref="I1332:J1332"/>
    <mergeCell ref="K1332:L1332"/>
    <mergeCell ref="B1333:D1333"/>
    <mergeCell ref="I1333:J1333"/>
    <mergeCell ref="K1333:L1333"/>
    <mergeCell ref="A1334:D1334"/>
    <mergeCell ref="I1334:J1334"/>
    <mergeCell ref="K1334:L1334"/>
    <mergeCell ref="A1335:D1335"/>
    <mergeCell ref="I1335:J1335"/>
    <mergeCell ref="K1335:L1335"/>
    <mergeCell ref="B1336:D1336"/>
    <mergeCell ref="I1336:J1336"/>
    <mergeCell ref="K1336:L1336"/>
    <mergeCell ref="B1337:D1337"/>
    <mergeCell ref="I1337:J1337"/>
    <mergeCell ref="K1337:L1337"/>
    <mergeCell ref="B1338:D1338"/>
    <mergeCell ref="I1338:J1338"/>
    <mergeCell ref="K1338:L1338"/>
    <mergeCell ref="A1339:D1339"/>
    <mergeCell ref="I1339:J1339"/>
    <mergeCell ref="K1339:L1339"/>
    <mergeCell ref="A1340:D1340"/>
    <mergeCell ref="I1340:J1340"/>
    <mergeCell ref="K1340:L1340"/>
    <mergeCell ref="B1341:D1341"/>
    <mergeCell ref="I1341:J1341"/>
    <mergeCell ref="K1341:L1341"/>
    <mergeCell ref="B1342:D1342"/>
    <mergeCell ref="I1342:J1342"/>
    <mergeCell ref="K1342:L1342"/>
    <mergeCell ref="B1343:D1343"/>
    <mergeCell ref="I1343:J1343"/>
    <mergeCell ref="K1343:L1343"/>
    <mergeCell ref="A1344:D1344"/>
    <mergeCell ref="I1344:J1344"/>
    <mergeCell ref="K1344:L1344"/>
    <mergeCell ref="A1345:D1345"/>
    <mergeCell ref="I1345:J1345"/>
    <mergeCell ref="K1345:L1345"/>
    <mergeCell ref="B1346:D1346"/>
    <mergeCell ref="I1346:J1346"/>
    <mergeCell ref="K1346:L1346"/>
    <mergeCell ref="B1347:D1347"/>
    <mergeCell ref="I1347:J1347"/>
    <mergeCell ref="K1347:L1347"/>
    <mergeCell ref="B1348:D1348"/>
    <mergeCell ref="I1348:J1348"/>
    <mergeCell ref="K1348:L1348"/>
    <mergeCell ref="A1349:D1349"/>
    <mergeCell ref="I1349:J1349"/>
    <mergeCell ref="K1349:L1349"/>
    <mergeCell ref="A1350:D1350"/>
    <mergeCell ref="I1350:J1350"/>
    <mergeCell ref="K1350:L1350"/>
    <mergeCell ref="B1351:D1351"/>
    <mergeCell ref="I1351:J1351"/>
    <mergeCell ref="K1351:L1351"/>
    <mergeCell ref="B1352:D1352"/>
    <mergeCell ref="I1352:J1352"/>
    <mergeCell ref="K1352:L1352"/>
    <mergeCell ref="A1353:D1353"/>
    <mergeCell ref="I1353:J1353"/>
    <mergeCell ref="K1353:L1353"/>
    <mergeCell ref="B1354:D1354"/>
    <mergeCell ref="I1354:J1354"/>
    <mergeCell ref="K1354:L1354"/>
    <mergeCell ref="B1355:D1355"/>
    <mergeCell ref="I1355:J1355"/>
    <mergeCell ref="K1355:L1355"/>
    <mergeCell ref="B1356:D1356"/>
    <mergeCell ref="I1356:J1356"/>
    <mergeCell ref="K1356:L1356"/>
    <mergeCell ref="A1357:D1357"/>
    <mergeCell ref="I1357:J1357"/>
    <mergeCell ref="K1357:L1357"/>
    <mergeCell ref="B1358:D1358"/>
    <mergeCell ref="I1358:J1358"/>
    <mergeCell ref="K1358:L1358"/>
    <mergeCell ref="A1359:D1359"/>
    <mergeCell ref="I1359:J1359"/>
    <mergeCell ref="K1359:L1359"/>
    <mergeCell ref="A1360:D1360"/>
    <mergeCell ref="I1360:J1360"/>
    <mergeCell ref="K1360:L1360"/>
    <mergeCell ref="B1361:D1361"/>
    <mergeCell ref="I1361:J1361"/>
    <mergeCell ref="K1361:L1361"/>
    <mergeCell ref="B1362:D1362"/>
    <mergeCell ref="I1362:J1362"/>
    <mergeCell ref="K1362:L1362"/>
    <mergeCell ref="B1363:D1363"/>
    <mergeCell ref="I1363:J1363"/>
    <mergeCell ref="K1363:L1363"/>
    <mergeCell ref="A1364:D1364"/>
    <mergeCell ref="I1364:J1364"/>
    <mergeCell ref="K1364:L1364"/>
    <mergeCell ref="A1365:D1365"/>
    <mergeCell ref="I1365:J1365"/>
    <mergeCell ref="K1365:L1365"/>
    <mergeCell ref="B1366:D1366"/>
    <mergeCell ref="I1366:J1366"/>
    <mergeCell ref="K1366:L1366"/>
    <mergeCell ref="B1367:D1367"/>
    <mergeCell ref="I1367:J1367"/>
    <mergeCell ref="K1367:L1367"/>
    <mergeCell ref="B1368:D1368"/>
    <mergeCell ref="I1368:J1368"/>
    <mergeCell ref="K1368:L1368"/>
    <mergeCell ref="A1369:D1369"/>
    <mergeCell ref="I1369:J1369"/>
    <mergeCell ref="K1369:L1369"/>
    <mergeCell ref="A1370:D1370"/>
    <mergeCell ref="I1370:J1370"/>
    <mergeCell ref="K1370:L1370"/>
    <mergeCell ref="B1371:D1371"/>
    <mergeCell ref="I1371:J1371"/>
    <mergeCell ref="K1371:L1371"/>
    <mergeCell ref="B1372:D1372"/>
    <mergeCell ref="I1372:J1372"/>
    <mergeCell ref="K1372:L1372"/>
    <mergeCell ref="B1373:D1373"/>
    <mergeCell ref="I1373:J1373"/>
    <mergeCell ref="K1373:L1373"/>
    <mergeCell ref="A1374:D1374"/>
    <mergeCell ref="I1374:J1374"/>
    <mergeCell ref="K1374:L1374"/>
    <mergeCell ref="B1375:D1375"/>
    <mergeCell ref="I1375:J1375"/>
    <mergeCell ref="K1375:L1375"/>
    <mergeCell ref="A1376:D1376"/>
    <mergeCell ref="I1376:J1376"/>
    <mergeCell ref="K1376:L1376"/>
    <mergeCell ref="A1377:D1377"/>
    <mergeCell ref="I1377:J1377"/>
    <mergeCell ref="K1377:L1377"/>
    <mergeCell ref="B1378:D1378"/>
    <mergeCell ref="I1378:J1378"/>
    <mergeCell ref="K1378:L1378"/>
    <mergeCell ref="B1379:D1379"/>
    <mergeCell ref="I1379:J1379"/>
    <mergeCell ref="K1379:L1379"/>
    <mergeCell ref="B1380:D1380"/>
    <mergeCell ref="I1380:J1380"/>
    <mergeCell ref="K1380:L1380"/>
    <mergeCell ref="A1381:D1381"/>
    <mergeCell ref="I1381:J1381"/>
    <mergeCell ref="K1381:L1381"/>
    <mergeCell ref="A1382:D1382"/>
    <mergeCell ref="I1382:J1382"/>
    <mergeCell ref="K1382:L1382"/>
    <mergeCell ref="B1383:D1383"/>
    <mergeCell ref="I1383:J1383"/>
    <mergeCell ref="K1383:L1383"/>
    <mergeCell ref="B1384:D1384"/>
    <mergeCell ref="I1384:J1384"/>
    <mergeCell ref="K1384:L1384"/>
    <mergeCell ref="B1385:D1385"/>
    <mergeCell ref="I1385:J1385"/>
    <mergeCell ref="K1385:L1385"/>
    <mergeCell ref="A1386:D1386"/>
    <mergeCell ref="I1386:J1386"/>
    <mergeCell ref="K1386:L1386"/>
    <mergeCell ref="A1387:D1387"/>
    <mergeCell ref="I1387:J1387"/>
    <mergeCell ref="K1387:L1387"/>
    <mergeCell ref="B1388:D1388"/>
    <mergeCell ref="I1388:J1388"/>
    <mergeCell ref="K1388:L1388"/>
    <mergeCell ref="B1389:D1389"/>
    <mergeCell ref="I1389:J1389"/>
    <mergeCell ref="K1389:L1389"/>
    <mergeCell ref="B1390:D1390"/>
    <mergeCell ref="I1390:J1390"/>
    <mergeCell ref="K1390:L1390"/>
    <mergeCell ref="A1391:D1391"/>
    <mergeCell ref="I1391:J1391"/>
    <mergeCell ref="K1391:L1391"/>
    <mergeCell ref="A1392:D1392"/>
    <mergeCell ref="I1392:J1392"/>
    <mergeCell ref="K1392:L1392"/>
    <mergeCell ref="B1393:D1393"/>
    <mergeCell ref="I1393:J1393"/>
    <mergeCell ref="K1393:L1393"/>
    <mergeCell ref="B1394:D1394"/>
    <mergeCell ref="I1394:J1394"/>
    <mergeCell ref="K1394:L1394"/>
    <mergeCell ref="A1395:D1395"/>
    <mergeCell ref="I1395:J1395"/>
    <mergeCell ref="K1395:L1395"/>
    <mergeCell ref="B1396:D1396"/>
    <mergeCell ref="I1396:J1396"/>
    <mergeCell ref="K1396:L1396"/>
    <mergeCell ref="B1397:D1397"/>
    <mergeCell ref="I1397:J1397"/>
    <mergeCell ref="K1397:L1397"/>
    <mergeCell ref="B1398:D1398"/>
    <mergeCell ref="I1398:J1398"/>
    <mergeCell ref="K1398:L1398"/>
    <mergeCell ref="A1399:D1399"/>
    <mergeCell ref="I1399:J1399"/>
    <mergeCell ref="K1399:L1399"/>
    <mergeCell ref="A1400:D1400"/>
    <mergeCell ref="I1400:J1400"/>
    <mergeCell ref="K1400:L1400"/>
    <mergeCell ref="B1401:D1401"/>
    <mergeCell ref="I1401:J1401"/>
    <mergeCell ref="K1401:L1401"/>
    <mergeCell ref="B1402:D1402"/>
    <mergeCell ref="I1402:J1402"/>
    <mergeCell ref="K1402:L1402"/>
    <mergeCell ref="B1403:D1403"/>
    <mergeCell ref="I1403:J1403"/>
    <mergeCell ref="K1403:L1403"/>
    <mergeCell ref="A1404:D1404"/>
    <mergeCell ref="I1404:J1404"/>
    <mergeCell ref="K1404:L1404"/>
    <mergeCell ref="A1405:D1405"/>
    <mergeCell ref="I1405:J1405"/>
    <mergeCell ref="K1405:L1405"/>
    <mergeCell ref="B1406:D1406"/>
    <mergeCell ref="I1406:J1406"/>
    <mergeCell ref="K1406:L1406"/>
    <mergeCell ref="B1407:D1407"/>
    <mergeCell ref="I1407:J1407"/>
    <mergeCell ref="K1407:L1407"/>
    <mergeCell ref="A1408:D1408"/>
    <mergeCell ref="I1408:J1408"/>
    <mergeCell ref="K1408:L1408"/>
    <mergeCell ref="B1409:D1409"/>
    <mergeCell ref="I1409:J1409"/>
    <mergeCell ref="K1409:L1409"/>
    <mergeCell ref="B1410:D1410"/>
    <mergeCell ref="I1410:J1410"/>
    <mergeCell ref="K1410:L1410"/>
    <mergeCell ref="B1411:D1411"/>
    <mergeCell ref="I1411:J1411"/>
    <mergeCell ref="K1411:L1411"/>
    <mergeCell ref="A1412:D1412"/>
    <mergeCell ref="I1412:J1412"/>
    <mergeCell ref="K1412:L1412"/>
    <mergeCell ref="A1413:D1413"/>
    <mergeCell ref="I1413:J1413"/>
    <mergeCell ref="K1413:L1413"/>
    <mergeCell ref="B1414:D1414"/>
    <mergeCell ref="I1414:J1414"/>
    <mergeCell ref="K1414:L1414"/>
    <mergeCell ref="B1415:D1415"/>
    <mergeCell ref="I1415:J1415"/>
    <mergeCell ref="K1415:L1415"/>
    <mergeCell ref="B1416:D1416"/>
    <mergeCell ref="I1416:J1416"/>
    <mergeCell ref="K1416:L1416"/>
    <mergeCell ref="A1417:D1417"/>
    <mergeCell ref="I1417:J1417"/>
    <mergeCell ref="K1417:L1417"/>
    <mergeCell ref="A1418:D1418"/>
    <mergeCell ref="I1418:J1418"/>
    <mergeCell ref="K1418:L1418"/>
    <mergeCell ref="B1419:D1419"/>
    <mergeCell ref="I1419:J1419"/>
    <mergeCell ref="K1419:L1419"/>
    <mergeCell ref="B1420:D1420"/>
    <mergeCell ref="I1420:J1420"/>
    <mergeCell ref="K1420:L1420"/>
    <mergeCell ref="A1421:D1421"/>
    <mergeCell ref="I1421:J1421"/>
    <mergeCell ref="K1421:L1421"/>
    <mergeCell ref="B1422:D1422"/>
    <mergeCell ref="I1422:J1422"/>
    <mergeCell ref="K1422:L1422"/>
    <mergeCell ref="B1423:D1423"/>
    <mergeCell ref="I1423:J1423"/>
    <mergeCell ref="K1423:L1423"/>
    <mergeCell ref="B1424:D1424"/>
    <mergeCell ref="I1424:J1424"/>
    <mergeCell ref="K1424:L1424"/>
    <mergeCell ref="A1425:D1425"/>
    <mergeCell ref="I1425:J1425"/>
    <mergeCell ref="K1425:L1425"/>
    <mergeCell ref="A1426:D1426"/>
    <mergeCell ref="I1426:J1426"/>
    <mergeCell ref="K1426:L1426"/>
    <mergeCell ref="B1427:D1427"/>
    <mergeCell ref="I1427:J1427"/>
    <mergeCell ref="K1427:L1427"/>
    <mergeCell ref="B1428:D1428"/>
    <mergeCell ref="I1428:J1428"/>
    <mergeCell ref="K1428:L1428"/>
    <mergeCell ref="B1429:D1429"/>
    <mergeCell ref="I1429:J1429"/>
    <mergeCell ref="K1429:L1429"/>
    <mergeCell ref="A1430:D1430"/>
    <mergeCell ref="I1430:J1430"/>
    <mergeCell ref="K1430:L1430"/>
    <mergeCell ref="A1431:D1431"/>
    <mergeCell ref="I1431:J1431"/>
    <mergeCell ref="K1431:L1431"/>
    <mergeCell ref="B1432:D1432"/>
    <mergeCell ref="I1432:J1432"/>
    <mergeCell ref="K1432:L1432"/>
    <mergeCell ref="B1433:D1433"/>
    <mergeCell ref="I1433:J1433"/>
    <mergeCell ref="K1433:L1433"/>
    <mergeCell ref="A1434:D1434"/>
    <mergeCell ref="I1434:J1434"/>
    <mergeCell ref="K1434:L1434"/>
    <mergeCell ref="B1435:D1435"/>
    <mergeCell ref="I1435:J1435"/>
    <mergeCell ref="K1435:L1435"/>
    <mergeCell ref="B1436:D1436"/>
    <mergeCell ref="I1436:J1436"/>
    <mergeCell ref="K1436:L1436"/>
    <mergeCell ref="B1437:D1437"/>
    <mergeCell ref="I1437:J1437"/>
    <mergeCell ref="K1437:L1437"/>
    <mergeCell ref="A1438:D1438"/>
    <mergeCell ref="I1438:J1438"/>
    <mergeCell ref="K1438:L1438"/>
    <mergeCell ref="A1439:D1439"/>
    <mergeCell ref="I1439:J1439"/>
    <mergeCell ref="K1439:L1439"/>
    <mergeCell ref="B1440:D1440"/>
    <mergeCell ref="I1440:J1440"/>
    <mergeCell ref="K1440:L1440"/>
    <mergeCell ref="B1441:D1441"/>
    <mergeCell ref="I1441:J1441"/>
    <mergeCell ref="K1441:L1441"/>
    <mergeCell ref="B1442:D1442"/>
    <mergeCell ref="I1442:J1442"/>
    <mergeCell ref="K1442:L1442"/>
    <mergeCell ref="A1443:D1443"/>
    <mergeCell ref="I1443:J1443"/>
    <mergeCell ref="K1443:L1443"/>
    <mergeCell ref="A1444:D1444"/>
    <mergeCell ref="I1444:J1444"/>
    <mergeCell ref="K1444:L1444"/>
    <mergeCell ref="B1445:D1445"/>
    <mergeCell ref="I1445:J1445"/>
    <mergeCell ref="K1445:L1445"/>
    <mergeCell ref="B1446:D1446"/>
    <mergeCell ref="I1446:J1446"/>
    <mergeCell ref="K1446:L1446"/>
    <mergeCell ref="B1447:D1447"/>
    <mergeCell ref="I1447:J1447"/>
    <mergeCell ref="K1447:L1447"/>
    <mergeCell ref="A1448:D1448"/>
    <mergeCell ref="I1448:J1448"/>
    <mergeCell ref="K1448:L1448"/>
    <mergeCell ref="B1449:D1449"/>
    <mergeCell ref="I1449:J1449"/>
    <mergeCell ref="K1449:L1449"/>
    <mergeCell ref="A1450:D1450"/>
    <mergeCell ref="I1450:J1450"/>
    <mergeCell ref="K1450:L1450"/>
    <mergeCell ref="A1451:D1451"/>
    <mergeCell ref="I1451:J1451"/>
    <mergeCell ref="K1451:L1451"/>
    <mergeCell ref="B1452:D1452"/>
    <mergeCell ref="I1452:J1452"/>
    <mergeCell ref="K1452:L1452"/>
    <mergeCell ref="B1453:D1453"/>
    <mergeCell ref="I1453:J1453"/>
    <mergeCell ref="K1453:L1453"/>
    <mergeCell ref="B1454:D1454"/>
    <mergeCell ref="I1454:J1454"/>
    <mergeCell ref="K1454:L1454"/>
    <mergeCell ref="A1455:D1455"/>
    <mergeCell ref="I1455:J1455"/>
    <mergeCell ref="K1455:L1455"/>
    <mergeCell ref="A1456:D1456"/>
    <mergeCell ref="I1456:J1456"/>
    <mergeCell ref="K1456:L1456"/>
    <mergeCell ref="B1457:D1457"/>
    <mergeCell ref="I1457:J1457"/>
    <mergeCell ref="K1457:L1457"/>
    <mergeCell ref="B1458:D1458"/>
    <mergeCell ref="I1458:J1458"/>
    <mergeCell ref="K1458:L1458"/>
    <mergeCell ref="B1459:D1459"/>
    <mergeCell ref="I1459:J1459"/>
    <mergeCell ref="K1459:L1459"/>
    <mergeCell ref="A1460:D1460"/>
    <mergeCell ref="I1460:J1460"/>
    <mergeCell ref="K1460:L1460"/>
    <mergeCell ref="A1461:D1461"/>
    <mergeCell ref="I1461:J1461"/>
    <mergeCell ref="K1461:L1461"/>
    <mergeCell ref="B1462:D1462"/>
    <mergeCell ref="I1462:J1462"/>
    <mergeCell ref="K1462:L1462"/>
    <mergeCell ref="B1463:D1463"/>
    <mergeCell ref="I1463:J1463"/>
    <mergeCell ref="K1463:L1463"/>
    <mergeCell ref="A1464:D1464"/>
    <mergeCell ref="I1464:J1464"/>
    <mergeCell ref="K1464:L1464"/>
    <mergeCell ref="B1465:D1465"/>
    <mergeCell ref="I1465:J1465"/>
    <mergeCell ref="K1465:L1465"/>
    <mergeCell ref="B1466:D1466"/>
    <mergeCell ref="I1466:J1466"/>
    <mergeCell ref="K1466:L1466"/>
    <mergeCell ref="B1467:D1467"/>
    <mergeCell ref="I1467:J1467"/>
    <mergeCell ref="K1467:L1467"/>
    <mergeCell ref="A1468:D1468"/>
    <mergeCell ref="I1468:J1468"/>
    <mergeCell ref="K1468:L1468"/>
    <mergeCell ref="A1469:D1469"/>
    <mergeCell ref="I1469:J1469"/>
    <mergeCell ref="K1469:L1469"/>
    <mergeCell ref="B1470:D1470"/>
    <mergeCell ref="I1470:J1470"/>
    <mergeCell ref="K1470:L1470"/>
    <mergeCell ref="B1471:D1471"/>
    <mergeCell ref="I1471:J1471"/>
    <mergeCell ref="K1471:L1471"/>
    <mergeCell ref="B1472:D1472"/>
    <mergeCell ref="I1472:J1472"/>
    <mergeCell ref="K1472:L1472"/>
    <mergeCell ref="A1473:D1473"/>
    <mergeCell ref="I1473:J1473"/>
    <mergeCell ref="K1473:L1473"/>
    <mergeCell ref="A1474:D1474"/>
    <mergeCell ref="I1474:J1474"/>
    <mergeCell ref="K1474:L1474"/>
    <mergeCell ref="B1475:D1475"/>
    <mergeCell ref="I1475:J1475"/>
    <mergeCell ref="K1475:L1475"/>
    <mergeCell ref="B1476:D1476"/>
    <mergeCell ref="I1476:J1476"/>
    <mergeCell ref="K1476:L1476"/>
    <mergeCell ref="A1477:D1477"/>
    <mergeCell ref="I1477:J1477"/>
    <mergeCell ref="K1477:L1477"/>
    <mergeCell ref="B1478:D1478"/>
    <mergeCell ref="I1478:J1478"/>
    <mergeCell ref="K1478:L1478"/>
    <mergeCell ref="B1479:D1479"/>
    <mergeCell ref="I1479:J1479"/>
    <mergeCell ref="K1479:L1479"/>
    <mergeCell ref="B1480:D1480"/>
    <mergeCell ref="I1480:J1480"/>
    <mergeCell ref="K1480:L1480"/>
    <mergeCell ref="A1481:D1481"/>
    <mergeCell ref="I1481:J1481"/>
    <mergeCell ref="K1481:L1481"/>
    <mergeCell ref="A1482:D1482"/>
    <mergeCell ref="I1482:J1482"/>
    <mergeCell ref="K1482:L1482"/>
    <mergeCell ref="B1483:D1483"/>
    <mergeCell ref="I1483:J1483"/>
    <mergeCell ref="K1483:L1483"/>
    <mergeCell ref="B1484:D1484"/>
    <mergeCell ref="I1484:J1484"/>
    <mergeCell ref="K1484:L1484"/>
    <mergeCell ref="B1485:D1485"/>
    <mergeCell ref="I1485:J1485"/>
    <mergeCell ref="K1485:L1485"/>
    <mergeCell ref="A1486:D1486"/>
    <mergeCell ref="I1486:J1486"/>
    <mergeCell ref="K1486:L1486"/>
    <mergeCell ref="A1487:D1487"/>
    <mergeCell ref="I1487:J1487"/>
    <mergeCell ref="K1487:L1487"/>
    <mergeCell ref="B1488:D1488"/>
    <mergeCell ref="I1488:J1488"/>
    <mergeCell ref="K1488:L1488"/>
    <mergeCell ref="B1489:D1489"/>
    <mergeCell ref="I1489:J1489"/>
    <mergeCell ref="K1489:L1489"/>
    <mergeCell ref="B1490:D1490"/>
    <mergeCell ref="I1490:J1490"/>
    <mergeCell ref="K1490:L1490"/>
    <mergeCell ref="A1491:D1491"/>
    <mergeCell ref="I1491:J1491"/>
    <mergeCell ref="K1491:L1491"/>
    <mergeCell ref="A1492:D1492"/>
    <mergeCell ref="I1492:J1492"/>
    <mergeCell ref="K1492:L1492"/>
    <mergeCell ref="B1493:D1493"/>
    <mergeCell ref="I1493:J1493"/>
    <mergeCell ref="K1493:L1493"/>
    <mergeCell ref="B1494:D1494"/>
    <mergeCell ref="I1494:J1494"/>
    <mergeCell ref="K1494:L1494"/>
    <mergeCell ref="B1495:D1495"/>
    <mergeCell ref="I1495:J1495"/>
    <mergeCell ref="K1495:L1495"/>
    <mergeCell ref="A1496:D1496"/>
    <mergeCell ref="I1496:J1496"/>
    <mergeCell ref="K1496:L1496"/>
    <mergeCell ref="A1497:D1497"/>
    <mergeCell ref="I1497:J1497"/>
    <mergeCell ref="K1497:L1497"/>
    <mergeCell ref="B1498:D1498"/>
    <mergeCell ref="I1498:J1498"/>
    <mergeCell ref="K1498:L1498"/>
    <mergeCell ref="B1499:D1499"/>
    <mergeCell ref="I1499:J1499"/>
    <mergeCell ref="K1499:L1499"/>
    <mergeCell ref="B1500:D1500"/>
    <mergeCell ref="I1500:J1500"/>
    <mergeCell ref="K1500:L1500"/>
    <mergeCell ref="A1501:D1501"/>
    <mergeCell ref="I1501:J1501"/>
    <mergeCell ref="K1501:L1501"/>
    <mergeCell ref="A1502:D1502"/>
    <mergeCell ref="I1502:J1502"/>
    <mergeCell ref="K1502:L1502"/>
    <mergeCell ref="B1503:D1503"/>
    <mergeCell ref="I1503:J1503"/>
    <mergeCell ref="K1503:L1503"/>
    <mergeCell ref="B1504:D1504"/>
    <mergeCell ref="I1504:J1504"/>
    <mergeCell ref="K1504:L1504"/>
    <mergeCell ref="B1505:D1505"/>
    <mergeCell ref="I1505:J1505"/>
    <mergeCell ref="K1505:L1505"/>
    <mergeCell ref="A1506:D1506"/>
    <mergeCell ref="I1506:J1506"/>
    <mergeCell ref="K1506:L1506"/>
    <mergeCell ref="B1507:D1507"/>
    <mergeCell ref="I1507:J1507"/>
    <mergeCell ref="K1507:L1507"/>
    <mergeCell ref="A1508:D1508"/>
    <mergeCell ref="I1508:J1508"/>
    <mergeCell ref="K1508:L1508"/>
    <mergeCell ref="A1509:D1509"/>
    <mergeCell ref="I1509:J1509"/>
    <mergeCell ref="K1509:L1509"/>
    <mergeCell ref="B1510:D1510"/>
    <mergeCell ref="I1510:J1510"/>
    <mergeCell ref="K1510:L1510"/>
    <mergeCell ref="B1511:D1511"/>
    <mergeCell ref="I1511:J1511"/>
    <mergeCell ref="K1511:L1511"/>
    <mergeCell ref="B1512:D1512"/>
    <mergeCell ref="I1512:J1512"/>
    <mergeCell ref="K1512:L1512"/>
    <mergeCell ref="A1513:D1513"/>
    <mergeCell ref="I1513:J1513"/>
    <mergeCell ref="K1513:L1513"/>
    <mergeCell ref="A1514:D1514"/>
    <mergeCell ref="I1514:J1514"/>
    <mergeCell ref="K1514:L1514"/>
    <mergeCell ref="B1515:D1515"/>
    <mergeCell ref="I1515:J1515"/>
    <mergeCell ref="K1515:L1515"/>
    <mergeCell ref="B1516:D1516"/>
    <mergeCell ref="I1516:J1516"/>
    <mergeCell ref="K1516:L1516"/>
    <mergeCell ref="B1517:D1517"/>
    <mergeCell ref="I1517:J1517"/>
    <mergeCell ref="K1517:L1517"/>
    <mergeCell ref="A1518:D1518"/>
    <mergeCell ref="I1518:J1518"/>
    <mergeCell ref="K1518:L1518"/>
    <mergeCell ref="A1519:D1519"/>
    <mergeCell ref="I1519:J1519"/>
    <mergeCell ref="K1519:L1519"/>
    <mergeCell ref="B1520:D1520"/>
    <mergeCell ref="I1520:J1520"/>
    <mergeCell ref="K1520:L1520"/>
    <mergeCell ref="B1521:D1521"/>
    <mergeCell ref="I1521:J1521"/>
    <mergeCell ref="K1521:L1521"/>
    <mergeCell ref="A1522:D1522"/>
    <mergeCell ref="I1522:J1522"/>
    <mergeCell ref="K1522:L1522"/>
    <mergeCell ref="B1523:D1523"/>
    <mergeCell ref="I1523:J1523"/>
    <mergeCell ref="K1523:L1523"/>
    <mergeCell ref="B1524:D1524"/>
    <mergeCell ref="I1524:J1524"/>
    <mergeCell ref="K1524:L1524"/>
    <mergeCell ref="B1525:D1525"/>
    <mergeCell ref="I1525:J1525"/>
    <mergeCell ref="K1525:L1525"/>
    <mergeCell ref="A1526:D1526"/>
    <mergeCell ref="I1526:J1526"/>
    <mergeCell ref="K1526:L1526"/>
    <mergeCell ref="A1527:D1527"/>
    <mergeCell ref="I1527:J1527"/>
    <mergeCell ref="K1527:L1527"/>
    <mergeCell ref="B1528:D1528"/>
    <mergeCell ref="I1528:J1528"/>
    <mergeCell ref="K1528:L1528"/>
    <mergeCell ref="B1529:D1529"/>
    <mergeCell ref="I1529:J1529"/>
    <mergeCell ref="K1529:L1529"/>
    <mergeCell ref="A1530:D1530"/>
    <mergeCell ref="I1530:J1530"/>
    <mergeCell ref="K1530:L1530"/>
    <mergeCell ref="B1531:D1531"/>
    <mergeCell ref="I1531:J1531"/>
    <mergeCell ref="K1531:L1531"/>
    <mergeCell ref="B1532:D1532"/>
    <mergeCell ref="I1532:J1532"/>
    <mergeCell ref="K1532:L1532"/>
    <mergeCell ref="B1533:D1533"/>
    <mergeCell ref="I1533:J1533"/>
    <mergeCell ref="K1533:L1533"/>
    <mergeCell ref="A1534:D1534"/>
    <mergeCell ref="I1534:J1534"/>
    <mergeCell ref="K1534:L1534"/>
    <mergeCell ref="A1535:D1535"/>
    <mergeCell ref="I1535:J1535"/>
    <mergeCell ref="K1535:L1535"/>
    <mergeCell ref="B1536:D1536"/>
    <mergeCell ref="I1536:J1536"/>
    <mergeCell ref="K1536:L1536"/>
    <mergeCell ref="B1537:D1537"/>
    <mergeCell ref="I1537:J1537"/>
    <mergeCell ref="K1537:L1537"/>
    <mergeCell ref="B1538:D1538"/>
    <mergeCell ref="I1538:J1538"/>
    <mergeCell ref="K1538:L1538"/>
    <mergeCell ref="A1539:D1539"/>
    <mergeCell ref="I1539:J1539"/>
    <mergeCell ref="K1539:L1539"/>
    <mergeCell ref="A1540:D1540"/>
    <mergeCell ref="I1540:J1540"/>
    <mergeCell ref="K1540:L1540"/>
    <mergeCell ref="B1541:D1541"/>
    <mergeCell ref="I1541:J1541"/>
    <mergeCell ref="K1541:L1541"/>
    <mergeCell ref="B1542:D1542"/>
    <mergeCell ref="I1542:J1542"/>
    <mergeCell ref="K1542:L1542"/>
    <mergeCell ref="B1543:D1543"/>
    <mergeCell ref="I1543:J1543"/>
    <mergeCell ref="K1543:L1543"/>
    <mergeCell ref="A1544:D1544"/>
    <mergeCell ref="I1544:J1544"/>
    <mergeCell ref="K1544:L1544"/>
    <mergeCell ref="B1545:D1545"/>
    <mergeCell ref="I1545:J1545"/>
    <mergeCell ref="K1545:L1545"/>
    <mergeCell ref="A1546:D1546"/>
    <mergeCell ref="I1546:J1546"/>
    <mergeCell ref="K1546:L1546"/>
    <mergeCell ref="B1547:D1547"/>
    <mergeCell ref="I1547:J1547"/>
    <mergeCell ref="K1547:L1547"/>
    <mergeCell ref="A1548:D1548"/>
    <mergeCell ref="I1548:J1548"/>
    <mergeCell ref="K1548:L1548"/>
    <mergeCell ref="B1549:D1549"/>
    <mergeCell ref="I1549:J1549"/>
    <mergeCell ref="K1549:L1549"/>
    <mergeCell ref="A1550:D1550"/>
    <mergeCell ref="I1550:J1550"/>
    <mergeCell ref="K1550:L1550"/>
    <mergeCell ref="B1551:D1551"/>
    <mergeCell ref="I1551:J1551"/>
    <mergeCell ref="K1551:L1551"/>
    <mergeCell ref="A1552:D1552"/>
    <mergeCell ref="I1552:J1552"/>
    <mergeCell ref="K1552:L1552"/>
    <mergeCell ref="B1553:D1553"/>
    <mergeCell ref="I1553:J1553"/>
    <mergeCell ref="K1553:L1553"/>
    <mergeCell ref="A1554:D1554"/>
    <mergeCell ref="I1554:J1554"/>
    <mergeCell ref="K1554:L1554"/>
    <mergeCell ref="B1555:D1555"/>
    <mergeCell ref="I1555:J1555"/>
    <mergeCell ref="K1555:L1555"/>
    <mergeCell ref="A1556:D1556"/>
    <mergeCell ref="I1556:J1556"/>
    <mergeCell ref="K1556:L1556"/>
    <mergeCell ref="B1557:D1557"/>
    <mergeCell ref="I1557:J1557"/>
    <mergeCell ref="K1557:L1557"/>
    <mergeCell ref="A1558:D1558"/>
    <mergeCell ref="I1558:J1558"/>
    <mergeCell ref="K1558:L1558"/>
    <mergeCell ref="B1559:D1559"/>
    <mergeCell ref="I1559:J1559"/>
    <mergeCell ref="K1559:L1559"/>
    <mergeCell ref="A1560:D1560"/>
    <mergeCell ref="I1560:J1560"/>
    <mergeCell ref="K1560:L1560"/>
    <mergeCell ref="B1561:D1561"/>
    <mergeCell ref="I1561:J1561"/>
    <mergeCell ref="K1561:L1561"/>
    <mergeCell ref="A1562:D1562"/>
    <mergeCell ref="I1562:J1562"/>
    <mergeCell ref="K1562:L1562"/>
    <mergeCell ref="B1563:D1563"/>
    <mergeCell ref="I1563:J1563"/>
    <mergeCell ref="K1563:L1563"/>
    <mergeCell ref="A1564:D1564"/>
    <mergeCell ref="I1564:J1564"/>
    <mergeCell ref="K1564:L1564"/>
    <mergeCell ref="B1565:D1565"/>
    <mergeCell ref="I1565:J1565"/>
    <mergeCell ref="K1565:L1565"/>
    <mergeCell ref="A1566:D1566"/>
    <mergeCell ref="I1566:J1566"/>
    <mergeCell ref="K1566:L1566"/>
    <mergeCell ref="B1567:D1567"/>
    <mergeCell ref="I1567:J1567"/>
    <mergeCell ref="K1567:L1567"/>
    <mergeCell ref="A1568:D1568"/>
    <mergeCell ref="I1568:J1568"/>
    <mergeCell ref="K1568:L1568"/>
    <mergeCell ref="B1569:D1569"/>
    <mergeCell ref="I1569:J1569"/>
    <mergeCell ref="K1569:L1569"/>
    <mergeCell ref="A1570:D1570"/>
    <mergeCell ref="I1570:J1570"/>
    <mergeCell ref="K1570:L1570"/>
    <mergeCell ref="B1571:D1571"/>
    <mergeCell ref="I1571:J1571"/>
    <mergeCell ref="K1571:L1571"/>
    <mergeCell ref="A1572:D1572"/>
    <mergeCell ref="I1572:J1572"/>
    <mergeCell ref="K1572:L1572"/>
    <mergeCell ref="B1573:D1573"/>
    <mergeCell ref="I1573:J1573"/>
    <mergeCell ref="K1573:L1573"/>
    <mergeCell ref="A1574:D1574"/>
    <mergeCell ref="I1574:J1574"/>
    <mergeCell ref="K1574:L1574"/>
    <mergeCell ref="A1575:D1575"/>
    <mergeCell ref="I1575:J1575"/>
    <mergeCell ref="K1575:L1575"/>
    <mergeCell ref="B1576:D1576"/>
    <mergeCell ref="I1576:J1576"/>
    <mergeCell ref="K1576:L1576"/>
    <mergeCell ref="B1577:D1577"/>
    <mergeCell ref="I1577:J1577"/>
    <mergeCell ref="K1577:L1577"/>
    <mergeCell ref="A1578:D1578"/>
    <mergeCell ref="I1578:J1578"/>
    <mergeCell ref="K1578:L1578"/>
    <mergeCell ref="B1579:D1579"/>
    <mergeCell ref="I1579:J1579"/>
    <mergeCell ref="K1579:L1579"/>
    <mergeCell ref="B1580:D1580"/>
    <mergeCell ref="I1580:J1580"/>
    <mergeCell ref="K1580:L1580"/>
    <mergeCell ref="B1581:D1581"/>
    <mergeCell ref="I1581:J1581"/>
    <mergeCell ref="K1581:L1581"/>
    <mergeCell ref="A1582:D1582"/>
    <mergeCell ref="I1582:J1582"/>
    <mergeCell ref="K1582:L1582"/>
    <mergeCell ref="A1583:D1583"/>
    <mergeCell ref="I1583:J1583"/>
    <mergeCell ref="K1583:L1583"/>
    <mergeCell ref="B1584:D1584"/>
    <mergeCell ref="I1584:J1584"/>
    <mergeCell ref="K1584:L1584"/>
    <mergeCell ref="B1585:D1585"/>
    <mergeCell ref="I1585:J1585"/>
    <mergeCell ref="K1585:L1585"/>
    <mergeCell ref="A1586:D1586"/>
    <mergeCell ref="I1586:J1586"/>
    <mergeCell ref="K1586:L1586"/>
    <mergeCell ref="B1587:D1587"/>
    <mergeCell ref="I1587:J1587"/>
    <mergeCell ref="K1587:L1587"/>
    <mergeCell ref="B1588:D1588"/>
    <mergeCell ref="I1588:J1588"/>
    <mergeCell ref="K1588:L1588"/>
    <mergeCell ref="B1589:D1589"/>
    <mergeCell ref="I1589:J1589"/>
    <mergeCell ref="K1589:L1589"/>
    <mergeCell ref="A1590:D1590"/>
    <mergeCell ref="I1590:J1590"/>
    <mergeCell ref="K1590:L1590"/>
    <mergeCell ref="A1591:D1591"/>
    <mergeCell ref="I1591:J1591"/>
    <mergeCell ref="K1591:L1591"/>
    <mergeCell ref="B1592:D1592"/>
    <mergeCell ref="I1592:J1592"/>
    <mergeCell ref="K1592:L1592"/>
    <mergeCell ref="B1593:D1593"/>
    <mergeCell ref="I1593:J1593"/>
    <mergeCell ref="K1593:L1593"/>
    <mergeCell ref="B1594:D1594"/>
    <mergeCell ref="I1594:J1594"/>
    <mergeCell ref="K1594:L1594"/>
    <mergeCell ref="A1595:D1595"/>
    <mergeCell ref="I1595:J1595"/>
    <mergeCell ref="K1595:L1595"/>
    <mergeCell ref="A1596:D1596"/>
    <mergeCell ref="I1596:J1596"/>
    <mergeCell ref="K1596:L1596"/>
    <mergeCell ref="B1597:D1597"/>
    <mergeCell ref="I1597:J1597"/>
    <mergeCell ref="K1597:L1597"/>
    <mergeCell ref="B1598:D1598"/>
    <mergeCell ref="I1598:J1598"/>
    <mergeCell ref="K1598:L1598"/>
    <mergeCell ref="B1599:D1599"/>
    <mergeCell ref="I1599:J1599"/>
    <mergeCell ref="K1599:L1599"/>
    <mergeCell ref="A1600:D1600"/>
    <mergeCell ref="I1600:J1600"/>
    <mergeCell ref="K1600:L1600"/>
    <mergeCell ref="A1601:D1601"/>
    <mergeCell ref="I1601:J1601"/>
    <mergeCell ref="K1601:L1601"/>
    <mergeCell ref="B1602:D1602"/>
    <mergeCell ref="I1602:J1602"/>
    <mergeCell ref="K1602:L1602"/>
    <mergeCell ref="B1603:D1603"/>
    <mergeCell ref="I1603:J1603"/>
    <mergeCell ref="K1603:L1603"/>
    <mergeCell ref="A1604:D1604"/>
    <mergeCell ref="I1604:J1604"/>
    <mergeCell ref="K1604:L1604"/>
    <mergeCell ref="B1605:D1605"/>
    <mergeCell ref="I1605:J1605"/>
    <mergeCell ref="K1605:L1605"/>
    <mergeCell ref="B1606:D1606"/>
    <mergeCell ref="I1606:J1606"/>
    <mergeCell ref="K1606:L1606"/>
    <mergeCell ref="B1607:D1607"/>
    <mergeCell ref="I1607:J1607"/>
    <mergeCell ref="K1607:L1607"/>
    <mergeCell ref="A1608:D1608"/>
    <mergeCell ref="I1608:J1608"/>
    <mergeCell ref="K1608:L1608"/>
    <mergeCell ref="A1609:D1609"/>
    <mergeCell ref="I1609:J1609"/>
    <mergeCell ref="K1609:L1609"/>
    <mergeCell ref="B1610:D1610"/>
    <mergeCell ref="I1610:J1610"/>
    <mergeCell ref="K1610:L1610"/>
    <mergeCell ref="B1611:D1611"/>
    <mergeCell ref="I1611:J1611"/>
    <mergeCell ref="K1611:L1611"/>
    <mergeCell ref="B1612:D1612"/>
    <mergeCell ref="I1612:J1612"/>
    <mergeCell ref="K1612:L1612"/>
    <mergeCell ref="A1613:D1613"/>
    <mergeCell ref="I1613:J1613"/>
    <mergeCell ref="K1613:L1613"/>
    <mergeCell ref="A1614:D1614"/>
    <mergeCell ref="I1614:J1614"/>
    <mergeCell ref="K1614:L1614"/>
    <mergeCell ref="B1615:D1615"/>
    <mergeCell ref="I1615:J1615"/>
    <mergeCell ref="K1615:L1615"/>
    <mergeCell ref="B1616:D1616"/>
    <mergeCell ref="I1616:J1616"/>
    <mergeCell ref="K1616:L1616"/>
    <mergeCell ref="B1617:D1617"/>
    <mergeCell ref="I1617:J1617"/>
    <mergeCell ref="K1617:L1617"/>
    <mergeCell ref="A1618:D1618"/>
    <mergeCell ref="I1618:J1618"/>
    <mergeCell ref="K1618:L1618"/>
    <mergeCell ref="B1619:D1619"/>
    <mergeCell ref="I1619:J1619"/>
    <mergeCell ref="K1619:L1619"/>
    <mergeCell ref="A1620:D1620"/>
    <mergeCell ref="I1620:J1620"/>
    <mergeCell ref="K1620:L1620"/>
    <mergeCell ref="A1621:D1621"/>
    <mergeCell ref="I1621:J1621"/>
    <mergeCell ref="K1621:L1621"/>
    <mergeCell ref="B1622:D1622"/>
    <mergeCell ref="I1622:J1622"/>
    <mergeCell ref="K1622:L1622"/>
    <mergeCell ref="B1623:D1623"/>
    <mergeCell ref="I1623:J1623"/>
    <mergeCell ref="K1623:L1623"/>
    <mergeCell ref="B1624:D1624"/>
    <mergeCell ref="I1624:J1624"/>
    <mergeCell ref="K1624:L1624"/>
    <mergeCell ref="A1625:D1625"/>
    <mergeCell ref="I1625:J1625"/>
    <mergeCell ref="K1625:L1625"/>
    <mergeCell ref="A1626:D1626"/>
    <mergeCell ref="I1626:J1626"/>
    <mergeCell ref="K1626:L1626"/>
    <mergeCell ref="B1627:D1627"/>
    <mergeCell ref="I1627:J1627"/>
    <mergeCell ref="K1627:L1627"/>
    <mergeCell ref="B1628:D1628"/>
    <mergeCell ref="I1628:J1628"/>
    <mergeCell ref="K1628:L1628"/>
    <mergeCell ref="B1629:D1629"/>
    <mergeCell ref="I1629:J1629"/>
    <mergeCell ref="K1629:L1629"/>
    <mergeCell ref="A1630:D1630"/>
    <mergeCell ref="I1630:J1630"/>
    <mergeCell ref="K1630:L1630"/>
    <mergeCell ref="A1631:D1631"/>
    <mergeCell ref="I1631:J1631"/>
    <mergeCell ref="K1631:L1631"/>
    <mergeCell ref="B1632:D1632"/>
    <mergeCell ref="I1632:J1632"/>
    <mergeCell ref="K1632:L1632"/>
    <mergeCell ref="B1633:D1633"/>
    <mergeCell ref="I1633:J1633"/>
    <mergeCell ref="K1633:L1633"/>
    <mergeCell ref="B1634:D1634"/>
    <mergeCell ref="I1634:J1634"/>
    <mergeCell ref="K1634:L1634"/>
    <mergeCell ref="A1635:D1635"/>
    <mergeCell ref="I1635:J1635"/>
    <mergeCell ref="K1635:L1635"/>
    <mergeCell ref="A1636:D1636"/>
    <mergeCell ref="I1636:J1636"/>
    <mergeCell ref="K1636:L1636"/>
    <mergeCell ref="B1637:D1637"/>
    <mergeCell ref="I1637:J1637"/>
    <mergeCell ref="K1637:L1637"/>
    <mergeCell ref="B1638:D1638"/>
    <mergeCell ref="I1638:J1638"/>
    <mergeCell ref="K1638:L1638"/>
    <mergeCell ref="B1639:D1639"/>
    <mergeCell ref="I1639:J1639"/>
    <mergeCell ref="K1639:L1639"/>
    <mergeCell ref="A1640:D1640"/>
    <mergeCell ref="I1640:J1640"/>
    <mergeCell ref="K1640:L1640"/>
    <mergeCell ref="A1641:D1641"/>
    <mergeCell ref="I1641:J1641"/>
    <mergeCell ref="K1641:L1641"/>
    <mergeCell ref="B1642:D1642"/>
    <mergeCell ref="I1642:J1642"/>
    <mergeCell ref="K1642:L1642"/>
    <mergeCell ref="B1643:D1643"/>
    <mergeCell ref="I1643:J1643"/>
    <mergeCell ref="K1643:L1643"/>
    <mergeCell ref="B1644:D1644"/>
    <mergeCell ref="I1644:J1644"/>
    <mergeCell ref="K1644:L1644"/>
    <mergeCell ref="A1645:D1645"/>
    <mergeCell ref="I1645:J1645"/>
    <mergeCell ref="K1645:L1645"/>
    <mergeCell ref="A1646:D1646"/>
    <mergeCell ref="I1646:J1646"/>
    <mergeCell ref="K1646:L1646"/>
    <mergeCell ref="B1647:D1647"/>
    <mergeCell ref="I1647:J1647"/>
    <mergeCell ref="K1647:L1647"/>
    <mergeCell ref="B1648:D1648"/>
    <mergeCell ref="I1648:J1648"/>
    <mergeCell ref="K1648:L1648"/>
    <mergeCell ref="B1649:D1649"/>
    <mergeCell ref="I1649:J1649"/>
    <mergeCell ref="K1649:L1649"/>
    <mergeCell ref="A1650:D1650"/>
    <mergeCell ref="I1650:J1650"/>
    <mergeCell ref="K1650:L1650"/>
    <mergeCell ref="A1651:D1651"/>
    <mergeCell ref="I1651:J1651"/>
    <mergeCell ref="K1651:L1651"/>
    <mergeCell ref="B1652:D1652"/>
    <mergeCell ref="I1652:J1652"/>
    <mergeCell ref="K1652:L1652"/>
    <mergeCell ref="B1653:D1653"/>
    <mergeCell ref="I1653:J1653"/>
    <mergeCell ref="K1653:L1653"/>
    <mergeCell ref="B1654:D1654"/>
    <mergeCell ref="I1654:J1654"/>
    <mergeCell ref="K1654:L1654"/>
    <mergeCell ref="A1655:D1655"/>
    <mergeCell ref="I1655:J1655"/>
    <mergeCell ref="K1655:L1655"/>
    <mergeCell ref="B1656:D1656"/>
    <mergeCell ref="I1656:J1656"/>
    <mergeCell ref="K1656:L1656"/>
    <mergeCell ref="A1657:D1657"/>
    <mergeCell ref="I1657:J1657"/>
    <mergeCell ref="K1657:L1657"/>
    <mergeCell ref="A1658:D1658"/>
    <mergeCell ref="I1658:J1658"/>
    <mergeCell ref="K1658:L1658"/>
    <mergeCell ref="B1659:D1659"/>
    <mergeCell ref="I1659:J1659"/>
    <mergeCell ref="K1659:L1659"/>
    <mergeCell ref="B1660:D1660"/>
    <mergeCell ref="I1660:J1660"/>
    <mergeCell ref="K1660:L1660"/>
    <mergeCell ref="A1661:D1661"/>
    <mergeCell ref="I1661:J1661"/>
    <mergeCell ref="K1661:L1661"/>
    <mergeCell ref="B1662:D1662"/>
    <mergeCell ref="I1662:J1662"/>
    <mergeCell ref="K1662:L1662"/>
    <mergeCell ref="B1663:D1663"/>
    <mergeCell ref="I1663:J1663"/>
    <mergeCell ref="K1663:L1663"/>
    <mergeCell ref="B1664:D1664"/>
    <mergeCell ref="I1664:J1664"/>
    <mergeCell ref="K1664:L1664"/>
    <mergeCell ref="A1665:D1665"/>
    <mergeCell ref="I1665:J1665"/>
    <mergeCell ref="K1665:L1665"/>
    <mergeCell ref="B1666:D1666"/>
    <mergeCell ref="I1666:J1666"/>
    <mergeCell ref="K1666:L1666"/>
    <mergeCell ref="A1667:D1667"/>
    <mergeCell ref="I1667:J1667"/>
    <mergeCell ref="K1667:L1667"/>
    <mergeCell ref="B1668:D1668"/>
    <mergeCell ref="I1668:J1668"/>
    <mergeCell ref="K1668:L1668"/>
    <mergeCell ref="A1669:D1669"/>
    <mergeCell ref="I1669:J1669"/>
    <mergeCell ref="K1669:L1669"/>
    <mergeCell ref="B1670:D1670"/>
    <mergeCell ref="I1670:J1670"/>
    <mergeCell ref="K1670:L1670"/>
    <mergeCell ref="A1671:D1671"/>
    <mergeCell ref="I1671:J1671"/>
    <mergeCell ref="K1671:L1671"/>
    <mergeCell ref="B1672:D1672"/>
    <mergeCell ref="I1672:J1672"/>
    <mergeCell ref="K1672:L1672"/>
    <mergeCell ref="A1673:D1673"/>
    <mergeCell ref="I1673:J1673"/>
    <mergeCell ref="K1673:L1673"/>
    <mergeCell ref="A1674:D1674"/>
    <mergeCell ref="I1674:J1674"/>
    <mergeCell ref="K1674:L1674"/>
    <mergeCell ref="B1675:D1675"/>
    <mergeCell ref="I1675:J1675"/>
    <mergeCell ref="K1675:L1675"/>
    <mergeCell ref="B1676:D1676"/>
    <mergeCell ref="I1676:J1676"/>
    <mergeCell ref="K1676:L1676"/>
    <mergeCell ref="B1677:D1677"/>
    <mergeCell ref="I1677:J1677"/>
    <mergeCell ref="K1677:L1677"/>
    <mergeCell ref="A1678:D1678"/>
    <mergeCell ref="I1678:J1678"/>
    <mergeCell ref="K1678:L1678"/>
    <mergeCell ref="B1679:D1679"/>
    <mergeCell ref="I1679:J1679"/>
    <mergeCell ref="K1679:L1679"/>
    <mergeCell ref="A1680:D1680"/>
    <mergeCell ref="I1680:J1680"/>
    <mergeCell ref="K1680:L1680"/>
    <mergeCell ref="B1681:D1681"/>
    <mergeCell ref="I1681:J1681"/>
    <mergeCell ref="K1681:L1681"/>
    <mergeCell ref="A1682:D1682"/>
    <mergeCell ref="I1682:J1682"/>
    <mergeCell ref="K1682:L1682"/>
    <mergeCell ref="B1683:D1683"/>
    <mergeCell ref="I1683:J1683"/>
    <mergeCell ref="K1683:L1683"/>
    <mergeCell ref="A1684:D1684"/>
    <mergeCell ref="I1684:J1684"/>
    <mergeCell ref="K1684:L1684"/>
    <mergeCell ref="A1685:D1685"/>
    <mergeCell ref="I1685:J1685"/>
    <mergeCell ref="K1685:L1685"/>
    <mergeCell ref="B1686:D1686"/>
    <mergeCell ref="I1686:J1686"/>
    <mergeCell ref="K1686:L1686"/>
    <mergeCell ref="B1687:D1687"/>
    <mergeCell ref="I1687:J1687"/>
    <mergeCell ref="K1687:L1687"/>
    <mergeCell ref="B1688:D1688"/>
    <mergeCell ref="I1688:J1688"/>
    <mergeCell ref="K1688:L1688"/>
    <mergeCell ref="A1689:D1689"/>
    <mergeCell ref="I1689:J1689"/>
    <mergeCell ref="K1689:L1689"/>
    <mergeCell ref="A1690:D1690"/>
    <mergeCell ref="I1690:J1690"/>
    <mergeCell ref="K1690:L1690"/>
    <mergeCell ref="B1691:D1691"/>
    <mergeCell ref="I1691:J1691"/>
    <mergeCell ref="K1691:L1691"/>
    <mergeCell ref="B1692:D1692"/>
    <mergeCell ref="I1692:J1692"/>
    <mergeCell ref="K1692:L1692"/>
    <mergeCell ref="B1693:D1693"/>
    <mergeCell ref="I1693:J1693"/>
    <mergeCell ref="K1693:L1693"/>
    <mergeCell ref="A1694:D1694"/>
    <mergeCell ref="I1694:J1694"/>
    <mergeCell ref="K1694:L1694"/>
    <mergeCell ref="A1695:D1695"/>
    <mergeCell ref="I1695:J1695"/>
    <mergeCell ref="K1695:L1695"/>
    <mergeCell ref="B1696:D1696"/>
    <mergeCell ref="I1696:J1696"/>
    <mergeCell ref="K1696:L1696"/>
    <mergeCell ref="B1697:D1697"/>
    <mergeCell ref="I1697:J1697"/>
    <mergeCell ref="K1697:L1697"/>
    <mergeCell ref="B1698:D1698"/>
    <mergeCell ref="I1698:J1698"/>
    <mergeCell ref="K1698:L1698"/>
    <mergeCell ref="A1699:D1699"/>
    <mergeCell ref="I1699:J1699"/>
    <mergeCell ref="K1699:L1699"/>
    <mergeCell ref="B1700:D1700"/>
    <mergeCell ref="I1700:J1700"/>
    <mergeCell ref="K1700:L1700"/>
    <mergeCell ref="A1701:D1701"/>
    <mergeCell ref="I1701:J1701"/>
    <mergeCell ref="K1701:L1701"/>
    <mergeCell ref="A1702:D1702"/>
    <mergeCell ref="I1702:J1702"/>
    <mergeCell ref="K1702:L1702"/>
    <mergeCell ref="B1703:D1703"/>
    <mergeCell ref="I1703:J1703"/>
    <mergeCell ref="K1703:L1703"/>
    <mergeCell ref="B1704:D1704"/>
    <mergeCell ref="I1704:J1704"/>
    <mergeCell ref="K1704:L1704"/>
    <mergeCell ref="B1705:D1705"/>
    <mergeCell ref="I1705:J1705"/>
    <mergeCell ref="K1705:L1705"/>
    <mergeCell ref="A1706:D1706"/>
    <mergeCell ref="I1706:J1706"/>
    <mergeCell ref="K1706:L1706"/>
    <mergeCell ref="B1707:D1707"/>
    <mergeCell ref="I1707:J1707"/>
    <mergeCell ref="K1707:L1707"/>
    <mergeCell ref="A1708:D1708"/>
    <mergeCell ref="I1708:J1708"/>
    <mergeCell ref="K1708:L1708"/>
    <mergeCell ref="A1709:D1709"/>
    <mergeCell ref="I1709:J1709"/>
    <mergeCell ref="K1709:L1709"/>
    <mergeCell ref="B1710:D1710"/>
    <mergeCell ref="I1710:J1710"/>
    <mergeCell ref="K1710:L1710"/>
    <mergeCell ref="B1711:D1711"/>
    <mergeCell ref="I1711:J1711"/>
    <mergeCell ref="K1711:L1711"/>
    <mergeCell ref="B1712:D1712"/>
    <mergeCell ref="I1712:J1712"/>
    <mergeCell ref="K1712:L1712"/>
    <mergeCell ref="A1713:D1713"/>
    <mergeCell ref="I1713:J1713"/>
    <mergeCell ref="K1713:L1713"/>
    <mergeCell ref="B1714:D1714"/>
    <mergeCell ref="I1714:J1714"/>
    <mergeCell ref="K1714:L1714"/>
    <mergeCell ref="A1715:D1715"/>
    <mergeCell ref="I1715:J1715"/>
    <mergeCell ref="K1715:L1715"/>
    <mergeCell ref="B1716:D1716"/>
    <mergeCell ref="I1716:J1716"/>
    <mergeCell ref="K1716:L1716"/>
    <mergeCell ref="A1717:D1717"/>
    <mergeCell ref="I1717:J1717"/>
    <mergeCell ref="K1717:L1717"/>
    <mergeCell ref="A1718:D1718"/>
    <mergeCell ref="I1718:J1718"/>
    <mergeCell ref="K1718:L1718"/>
    <mergeCell ref="B1719:D1719"/>
    <mergeCell ref="I1719:J1719"/>
    <mergeCell ref="K1719:L1719"/>
    <mergeCell ref="B1720:D1720"/>
    <mergeCell ref="I1720:J1720"/>
    <mergeCell ref="K1720:L1720"/>
    <mergeCell ref="B1721:D1721"/>
    <mergeCell ref="I1721:J1721"/>
    <mergeCell ref="K1721:L1721"/>
    <mergeCell ref="A1722:D1722"/>
    <mergeCell ref="I1722:J1722"/>
    <mergeCell ref="K1722:L1722"/>
    <mergeCell ref="A1723:D1723"/>
    <mergeCell ref="I1723:J1723"/>
    <mergeCell ref="K1723:L1723"/>
    <mergeCell ref="B1724:D1724"/>
    <mergeCell ref="I1724:J1724"/>
    <mergeCell ref="K1724:L1724"/>
    <mergeCell ref="B1725:D1725"/>
    <mergeCell ref="I1725:J1725"/>
    <mergeCell ref="K1725:L1725"/>
    <mergeCell ref="B1726:D1726"/>
    <mergeCell ref="I1726:J1726"/>
    <mergeCell ref="K1726:L1726"/>
    <mergeCell ref="A1727:D1727"/>
    <mergeCell ref="I1727:J1727"/>
    <mergeCell ref="K1727:L1727"/>
    <mergeCell ref="A1728:D1728"/>
    <mergeCell ref="I1728:J1728"/>
    <mergeCell ref="K1728:L1728"/>
    <mergeCell ref="B1729:D1729"/>
    <mergeCell ref="I1729:J1729"/>
    <mergeCell ref="K1729:L1729"/>
    <mergeCell ref="B1730:D1730"/>
    <mergeCell ref="I1730:J1730"/>
    <mergeCell ref="K1730:L1730"/>
    <mergeCell ref="B1731:D1731"/>
    <mergeCell ref="I1731:J1731"/>
    <mergeCell ref="K1731:L1731"/>
    <mergeCell ref="A1732:D1732"/>
    <mergeCell ref="I1732:J1732"/>
    <mergeCell ref="K1732:L1732"/>
    <mergeCell ref="A1733:D1733"/>
    <mergeCell ref="I1733:J1733"/>
    <mergeCell ref="K1733:L1733"/>
    <mergeCell ref="B1734:D1734"/>
    <mergeCell ref="I1734:J1734"/>
    <mergeCell ref="K1734:L1734"/>
    <mergeCell ref="B1735:D1735"/>
    <mergeCell ref="I1735:J1735"/>
    <mergeCell ref="K1735:L1735"/>
    <mergeCell ref="B1736:D1736"/>
    <mergeCell ref="I1736:J1736"/>
    <mergeCell ref="K1736:L1736"/>
    <mergeCell ref="A1737:D1737"/>
    <mergeCell ref="I1737:J1737"/>
    <mergeCell ref="K1737:L1737"/>
    <mergeCell ref="A1738:D1738"/>
    <mergeCell ref="I1738:J1738"/>
    <mergeCell ref="K1738:L1738"/>
    <mergeCell ref="B1739:D1739"/>
    <mergeCell ref="I1739:J1739"/>
    <mergeCell ref="K1739:L1739"/>
    <mergeCell ref="B1740:D1740"/>
    <mergeCell ref="I1740:J1740"/>
    <mergeCell ref="K1740:L1740"/>
    <mergeCell ref="B1741:D1741"/>
    <mergeCell ref="I1741:J1741"/>
    <mergeCell ref="K1741:L1741"/>
    <mergeCell ref="A1742:D1742"/>
    <mergeCell ref="I1742:J1742"/>
    <mergeCell ref="K1742:L1742"/>
    <mergeCell ref="A1743:D1743"/>
    <mergeCell ref="I1743:J1743"/>
    <mergeCell ref="K1743:L1743"/>
    <mergeCell ref="B1744:D1744"/>
    <mergeCell ref="I1744:J1744"/>
    <mergeCell ref="K1744:L1744"/>
    <mergeCell ref="B1745:D1745"/>
    <mergeCell ref="I1745:J1745"/>
    <mergeCell ref="K1745:L1745"/>
    <mergeCell ref="B1746:D1746"/>
    <mergeCell ref="I1746:J1746"/>
    <mergeCell ref="K1746:L1746"/>
    <mergeCell ref="A1747:D1747"/>
    <mergeCell ref="I1747:J1747"/>
    <mergeCell ref="K1747:L1747"/>
    <mergeCell ref="A1748:D1748"/>
    <mergeCell ref="I1748:J1748"/>
    <mergeCell ref="K1748:L1748"/>
    <mergeCell ref="B1749:D1749"/>
    <mergeCell ref="I1749:J1749"/>
    <mergeCell ref="K1749:L1749"/>
    <mergeCell ref="B1750:D1750"/>
    <mergeCell ref="I1750:J1750"/>
    <mergeCell ref="K1750:L1750"/>
    <mergeCell ref="B1751:D1751"/>
    <mergeCell ref="I1751:J1751"/>
    <mergeCell ref="K1751:L1751"/>
    <mergeCell ref="A1752:D1752"/>
    <mergeCell ref="I1752:J1752"/>
    <mergeCell ref="K1752:L1752"/>
    <mergeCell ref="A1753:D1753"/>
    <mergeCell ref="I1753:J1753"/>
    <mergeCell ref="K1753:L1753"/>
    <mergeCell ref="B1754:D1754"/>
    <mergeCell ref="I1754:J1754"/>
    <mergeCell ref="K1754:L1754"/>
    <mergeCell ref="B1755:D1755"/>
    <mergeCell ref="I1755:J1755"/>
    <mergeCell ref="K1755:L1755"/>
    <mergeCell ref="B1756:D1756"/>
    <mergeCell ref="I1756:J1756"/>
    <mergeCell ref="K1756:L1756"/>
    <mergeCell ref="A1757:D1757"/>
    <mergeCell ref="I1757:J1757"/>
    <mergeCell ref="K1757:L1757"/>
    <mergeCell ref="B1758:D1758"/>
    <mergeCell ref="I1758:J1758"/>
    <mergeCell ref="K1758:L1758"/>
    <mergeCell ref="A1759:D1759"/>
    <mergeCell ref="I1759:J1759"/>
    <mergeCell ref="K1759:L1759"/>
    <mergeCell ref="A1760:D1760"/>
    <mergeCell ref="I1760:J1760"/>
    <mergeCell ref="K1760:L1760"/>
    <mergeCell ref="B1761:D1761"/>
    <mergeCell ref="I1761:J1761"/>
    <mergeCell ref="K1761:L1761"/>
    <mergeCell ref="B1762:D1762"/>
    <mergeCell ref="I1762:J1762"/>
    <mergeCell ref="K1762:L1762"/>
    <mergeCell ref="B1763:D1763"/>
    <mergeCell ref="I1763:J1763"/>
    <mergeCell ref="K1763:L1763"/>
    <mergeCell ref="A1764:D1764"/>
    <mergeCell ref="I1764:J1764"/>
    <mergeCell ref="K1764:L1764"/>
    <mergeCell ref="A1765:D1765"/>
    <mergeCell ref="I1765:J1765"/>
    <mergeCell ref="K1765:L1765"/>
    <mergeCell ref="B1766:D1766"/>
    <mergeCell ref="I1766:J1766"/>
    <mergeCell ref="K1766:L1766"/>
    <mergeCell ref="B1767:D1767"/>
    <mergeCell ref="I1767:J1767"/>
    <mergeCell ref="K1767:L1767"/>
    <mergeCell ref="B1768:D1768"/>
    <mergeCell ref="I1768:J1768"/>
    <mergeCell ref="K1768:L1768"/>
    <mergeCell ref="A1769:D1769"/>
    <mergeCell ref="I1769:J1769"/>
    <mergeCell ref="K1769:L1769"/>
    <mergeCell ref="A1770:D1770"/>
    <mergeCell ref="I1770:J1770"/>
    <mergeCell ref="K1770:L1770"/>
    <mergeCell ref="B1771:D1771"/>
    <mergeCell ref="I1771:J1771"/>
    <mergeCell ref="K1771:L1771"/>
    <mergeCell ref="B1772:D1772"/>
    <mergeCell ref="I1772:J1772"/>
    <mergeCell ref="K1772:L1772"/>
    <mergeCell ref="B1773:D1773"/>
    <mergeCell ref="I1773:J1773"/>
    <mergeCell ref="K1773:L1773"/>
    <mergeCell ref="A1774:D1774"/>
    <mergeCell ref="I1774:J1774"/>
    <mergeCell ref="K1774:L1774"/>
    <mergeCell ref="A1775:D1775"/>
    <mergeCell ref="I1775:J1775"/>
    <mergeCell ref="K1775:L1775"/>
    <mergeCell ref="B1776:D1776"/>
    <mergeCell ref="I1776:J1776"/>
    <mergeCell ref="K1776:L1776"/>
    <mergeCell ref="B1777:D1777"/>
    <mergeCell ref="I1777:J1777"/>
    <mergeCell ref="K1777:L1777"/>
    <mergeCell ref="B1778:D1778"/>
    <mergeCell ref="I1778:J1778"/>
    <mergeCell ref="K1778:L1778"/>
    <mergeCell ref="A1779:D1779"/>
    <mergeCell ref="I1779:J1779"/>
    <mergeCell ref="K1779:L1779"/>
    <mergeCell ref="B1780:D1780"/>
    <mergeCell ref="I1780:J1780"/>
    <mergeCell ref="K1780:L1780"/>
    <mergeCell ref="A1781:D1781"/>
    <mergeCell ref="I1781:J1781"/>
    <mergeCell ref="K1781:L1781"/>
    <mergeCell ref="B1782:D1782"/>
    <mergeCell ref="I1782:J1782"/>
    <mergeCell ref="K1782:L1782"/>
    <mergeCell ref="A1783:D1783"/>
    <mergeCell ref="I1783:J1783"/>
    <mergeCell ref="K1783:L1783"/>
    <mergeCell ref="A1784:D1784"/>
    <mergeCell ref="I1784:J1784"/>
    <mergeCell ref="K1784:L1784"/>
    <mergeCell ref="B1785:D1785"/>
    <mergeCell ref="I1785:J1785"/>
    <mergeCell ref="K1785:L1785"/>
    <mergeCell ref="B1786:D1786"/>
    <mergeCell ref="I1786:J1786"/>
    <mergeCell ref="K1786:L1786"/>
    <mergeCell ref="B1787:D1787"/>
    <mergeCell ref="I1787:J1787"/>
    <mergeCell ref="K1787:L1787"/>
    <mergeCell ref="A1788:D1788"/>
    <mergeCell ref="I1788:J1788"/>
    <mergeCell ref="K1788:L1788"/>
    <mergeCell ref="B1789:D1789"/>
    <mergeCell ref="I1789:J1789"/>
    <mergeCell ref="K1789:L1789"/>
    <mergeCell ref="A1790:D1790"/>
    <mergeCell ref="I1790:J1790"/>
    <mergeCell ref="K1790:L1790"/>
    <mergeCell ref="B1791:D1791"/>
    <mergeCell ref="I1791:J1791"/>
    <mergeCell ref="K1791:L1791"/>
    <mergeCell ref="A1792:D1792"/>
    <mergeCell ref="I1792:J1792"/>
    <mergeCell ref="K1792:L1792"/>
    <mergeCell ref="B1793:D1793"/>
    <mergeCell ref="I1793:J1793"/>
    <mergeCell ref="K1793:L1793"/>
    <mergeCell ref="A1794:D1794"/>
    <mergeCell ref="I1794:J1794"/>
    <mergeCell ref="K1794:L1794"/>
    <mergeCell ref="B1795:D1795"/>
    <mergeCell ref="I1795:J1795"/>
    <mergeCell ref="K1795:L1795"/>
    <mergeCell ref="A1796:D1796"/>
    <mergeCell ref="I1796:J1796"/>
    <mergeCell ref="K1796:L1796"/>
    <mergeCell ref="A1797:D1797"/>
    <mergeCell ref="I1797:J1797"/>
    <mergeCell ref="K1797:L1797"/>
    <mergeCell ref="B1798:D1798"/>
    <mergeCell ref="I1798:J1798"/>
    <mergeCell ref="K1798:L1798"/>
    <mergeCell ref="B1799:D1799"/>
    <mergeCell ref="I1799:J1799"/>
    <mergeCell ref="K1799:L1799"/>
    <mergeCell ref="B1800:D1800"/>
    <mergeCell ref="I1800:J1800"/>
    <mergeCell ref="K1800:L1800"/>
    <mergeCell ref="A1801:D1801"/>
    <mergeCell ref="I1801:J1801"/>
    <mergeCell ref="K1801:L1801"/>
    <mergeCell ref="B1802:D1802"/>
    <mergeCell ref="I1802:J1802"/>
    <mergeCell ref="K1802:L1802"/>
    <mergeCell ref="A1803:D1803"/>
    <mergeCell ref="I1803:J1803"/>
    <mergeCell ref="K1803:L1803"/>
    <mergeCell ref="A1804:D1804"/>
    <mergeCell ref="I1804:J1804"/>
    <mergeCell ref="K1804:L1804"/>
    <mergeCell ref="B1805:D1805"/>
    <mergeCell ref="I1805:J1805"/>
    <mergeCell ref="K1805:L1805"/>
    <mergeCell ref="B1806:D1806"/>
    <mergeCell ref="I1806:J1806"/>
    <mergeCell ref="K1806:L1806"/>
    <mergeCell ref="B1807:D1807"/>
    <mergeCell ref="I1807:J1807"/>
    <mergeCell ref="K1807:L1807"/>
    <mergeCell ref="A1808:D1808"/>
    <mergeCell ref="I1808:J1808"/>
    <mergeCell ref="K1808:L1808"/>
    <mergeCell ref="A1809:D1809"/>
    <mergeCell ref="I1809:J1809"/>
    <mergeCell ref="K1809:L1809"/>
    <mergeCell ref="B1810:D1810"/>
    <mergeCell ref="I1810:J1810"/>
    <mergeCell ref="K1810:L1810"/>
    <mergeCell ref="B1811:D1811"/>
    <mergeCell ref="I1811:J1811"/>
    <mergeCell ref="K1811:L1811"/>
    <mergeCell ref="B1812:D1812"/>
    <mergeCell ref="I1812:J1812"/>
    <mergeCell ref="K1812:L1812"/>
    <mergeCell ref="A1813:D1813"/>
    <mergeCell ref="I1813:J1813"/>
    <mergeCell ref="K1813:L1813"/>
    <mergeCell ref="B1814:D1814"/>
    <mergeCell ref="I1814:J1814"/>
    <mergeCell ref="K1814:L1814"/>
    <mergeCell ref="A1815:D1815"/>
    <mergeCell ref="I1815:J1815"/>
    <mergeCell ref="K1815:L1815"/>
    <mergeCell ref="B1816:D1816"/>
    <mergeCell ref="I1816:J1816"/>
    <mergeCell ref="K1816:L1816"/>
    <mergeCell ref="A1817:D1817"/>
    <mergeCell ref="I1817:J1817"/>
    <mergeCell ref="K1817:L1817"/>
    <mergeCell ref="A1818:D1818"/>
    <mergeCell ref="I1818:J1818"/>
    <mergeCell ref="K1818:L1818"/>
    <mergeCell ref="B1819:D1819"/>
    <mergeCell ref="I1819:J1819"/>
    <mergeCell ref="K1819:L1819"/>
    <mergeCell ref="B1820:D1820"/>
    <mergeCell ref="I1820:J1820"/>
    <mergeCell ref="K1820:L1820"/>
    <mergeCell ref="B1821:D1821"/>
    <mergeCell ref="I1821:J1821"/>
    <mergeCell ref="K1821:L1821"/>
    <mergeCell ref="A1822:D1822"/>
    <mergeCell ref="I1822:J1822"/>
    <mergeCell ref="K1822:L1822"/>
    <mergeCell ref="B1823:D1823"/>
    <mergeCell ref="I1823:J1823"/>
    <mergeCell ref="K1823:L1823"/>
    <mergeCell ref="A1824:D1824"/>
    <mergeCell ref="I1824:J1824"/>
    <mergeCell ref="K1824:L1824"/>
    <mergeCell ref="B1825:D1825"/>
    <mergeCell ref="I1825:J1825"/>
    <mergeCell ref="K1825:L1825"/>
    <mergeCell ref="A1826:D1826"/>
    <mergeCell ref="I1826:J1826"/>
    <mergeCell ref="K1826:L1826"/>
    <mergeCell ref="B1827:D1827"/>
    <mergeCell ref="I1827:J1827"/>
    <mergeCell ref="K1827:L1827"/>
    <mergeCell ref="A1828:D1828"/>
    <mergeCell ref="I1828:J1828"/>
    <mergeCell ref="K1828:L1828"/>
    <mergeCell ref="B1829:D1829"/>
    <mergeCell ref="I1829:J1829"/>
    <mergeCell ref="K1829:L1829"/>
    <mergeCell ref="A1830:D1830"/>
    <mergeCell ref="I1830:J1830"/>
    <mergeCell ref="K1830:L1830"/>
    <mergeCell ref="A1831:D1831"/>
    <mergeCell ref="I1831:J1831"/>
    <mergeCell ref="K1831:L1831"/>
    <mergeCell ref="B1832:D1832"/>
    <mergeCell ref="I1832:J1832"/>
    <mergeCell ref="K1832:L1832"/>
    <mergeCell ref="B1833:D1833"/>
    <mergeCell ref="I1833:J1833"/>
    <mergeCell ref="K1833:L1833"/>
    <mergeCell ref="B1834:D1834"/>
    <mergeCell ref="I1834:J1834"/>
    <mergeCell ref="K1834:L1834"/>
    <mergeCell ref="A1835:D1835"/>
    <mergeCell ref="I1835:J1835"/>
    <mergeCell ref="K1835:L1835"/>
    <mergeCell ref="B1836:D1836"/>
    <mergeCell ref="I1836:J1836"/>
    <mergeCell ref="K1836:L1836"/>
    <mergeCell ref="A1837:D1837"/>
    <mergeCell ref="I1837:J1837"/>
    <mergeCell ref="K1837:L1837"/>
    <mergeCell ref="B1838:D1838"/>
    <mergeCell ref="I1838:J1838"/>
    <mergeCell ref="K1838:L1838"/>
    <mergeCell ref="A1839:D1839"/>
    <mergeCell ref="I1839:J1839"/>
    <mergeCell ref="K1839:L1839"/>
    <mergeCell ref="B1840:D1840"/>
    <mergeCell ref="I1840:J1840"/>
    <mergeCell ref="K1840:L1840"/>
    <mergeCell ref="A1841:D1841"/>
    <mergeCell ref="I1841:J1841"/>
    <mergeCell ref="K1841:L1841"/>
    <mergeCell ref="B1842:D1842"/>
    <mergeCell ref="I1842:J1842"/>
    <mergeCell ref="K1842:L1842"/>
    <mergeCell ref="A1843:D1843"/>
    <mergeCell ref="I1843:J1843"/>
    <mergeCell ref="K1843:L1843"/>
    <mergeCell ref="A1844:D1844"/>
    <mergeCell ref="I1844:J1844"/>
    <mergeCell ref="K1844:L1844"/>
    <mergeCell ref="B1845:D1845"/>
    <mergeCell ref="I1845:J1845"/>
    <mergeCell ref="K1845:L1845"/>
    <mergeCell ref="B1846:D1846"/>
    <mergeCell ref="I1846:J1846"/>
    <mergeCell ref="K1846:L1846"/>
    <mergeCell ref="B1847:D1847"/>
    <mergeCell ref="I1847:J1847"/>
    <mergeCell ref="K1847:L1847"/>
    <mergeCell ref="A1848:D1848"/>
    <mergeCell ref="I1848:J1848"/>
    <mergeCell ref="K1848:L1848"/>
    <mergeCell ref="A1849:D1849"/>
    <mergeCell ref="I1849:J1849"/>
    <mergeCell ref="K1849:L1849"/>
    <mergeCell ref="B1850:D1850"/>
    <mergeCell ref="I1850:J1850"/>
    <mergeCell ref="K1850:L1850"/>
    <mergeCell ref="B1851:D1851"/>
    <mergeCell ref="I1851:J1851"/>
    <mergeCell ref="K1851:L1851"/>
    <mergeCell ref="B1852:D1852"/>
    <mergeCell ref="I1852:J1852"/>
    <mergeCell ref="K1852:L1852"/>
    <mergeCell ref="A1853:D1853"/>
    <mergeCell ref="I1853:J1853"/>
    <mergeCell ref="K1853:L1853"/>
    <mergeCell ref="A1854:D1854"/>
    <mergeCell ref="I1854:J1854"/>
    <mergeCell ref="K1854:L1854"/>
    <mergeCell ref="B1855:D1855"/>
    <mergeCell ref="I1855:J1855"/>
    <mergeCell ref="K1855:L1855"/>
    <mergeCell ref="B1856:D1856"/>
    <mergeCell ref="I1856:J1856"/>
    <mergeCell ref="K1856:L1856"/>
    <mergeCell ref="B1857:D1857"/>
    <mergeCell ref="I1857:J1857"/>
    <mergeCell ref="K1857:L1857"/>
    <mergeCell ref="A1858:D1858"/>
    <mergeCell ref="I1858:J1858"/>
    <mergeCell ref="K1858:L1858"/>
    <mergeCell ref="A1859:D1859"/>
    <mergeCell ref="I1859:J1859"/>
    <mergeCell ref="K1859:L1859"/>
    <mergeCell ref="B1860:D1860"/>
    <mergeCell ref="I1860:J1860"/>
    <mergeCell ref="K1860:L1860"/>
    <mergeCell ref="B1861:D1861"/>
    <mergeCell ref="I1861:J1861"/>
    <mergeCell ref="K1861:L1861"/>
    <mergeCell ref="B1862:D1862"/>
    <mergeCell ref="I1862:J1862"/>
    <mergeCell ref="K1862:L1862"/>
    <mergeCell ref="A1863:D1863"/>
    <mergeCell ref="I1863:J1863"/>
    <mergeCell ref="K1863:L1863"/>
    <mergeCell ref="A1864:D1864"/>
    <mergeCell ref="I1864:J1864"/>
    <mergeCell ref="K1864:L1864"/>
    <mergeCell ref="B1865:D1865"/>
    <mergeCell ref="I1865:J1865"/>
    <mergeCell ref="K1865:L1865"/>
    <mergeCell ref="B1866:D1866"/>
    <mergeCell ref="I1866:J1866"/>
    <mergeCell ref="K1866:L1866"/>
    <mergeCell ref="B1867:D1867"/>
    <mergeCell ref="I1867:J1867"/>
    <mergeCell ref="K1867:L1867"/>
    <mergeCell ref="A1868:D1868"/>
    <mergeCell ref="I1868:J1868"/>
    <mergeCell ref="K1868:L1868"/>
    <mergeCell ref="B1869:D1869"/>
    <mergeCell ref="I1869:J1869"/>
    <mergeCell ref="K1869:L1869"/>
    <mergeCell ref="A1870:D1870"/>
    <mergeCell ref="I1870:J1870"/>
    <mergeCell ref="K1870:L1870"/>
    <mergeCell ref="A1871:D1871"/>
    <mergeCell ref="I1871:J1871"/>
    <mergeCell ref="K1871:L1871"/>
    <mergeCell ref="B1872:D1872"/>
    <mergeCell ref="I1872:J1872"/>
    <mergeCell ref="K1872:L1872"/>
    <mergeCell ref="B1873:D1873"/>
    <mergeCell ref="I1873:J1873"/>
    <mergeCell ref="K1873:L1873"/>
    <mergeCell ref="B1874:D1874"/>
    <mergeCell ref="I1874:J1874"/>
    <mergeCell ref="K1874:L1874"/>
    <mergeCell ref="A1875:D1875"/>
    <mergeCell ref="I1875:J1875"/>
    <mergeCell ref="K1875:L1875"/>
    <mergeCell ref="B1876:D1876"/>
    <mergeCell ref="I1876:J1876"/>
    <mergeCell ref="K1876:L1876"/>
    <mergeCell ref="A1877:D1877"/>
    <mergeCell ref="I1877:J1877"/>
    <mergeCell ref="K1877:L1877"/>
    <mergeCell ref="A1878:D1878"/>
    <mergeCell ref="I1878:J1878"/>
    <mergeCell ref="K1878:L1878"/>
    <mergeCell ref="B1879:D1879"/>
    <mergeCell ref="I1879:J1879"/>
    <mergeCell ref="K1879:L1879"/>
    <mergeCell ref="B1880:D1880"/>
    <mergeCell ref="I1880:J1880"/>
    <mergeCell ref="K1880:L1880"/>
    <mergeCell ref="B1881:D1881"/>
    <mergeCell ref="I1881:J1881"/>
    <mergeCell ref="K1881:L1881"/>
    <mergeCell ref="A1882:D1882"/>
    <mergeCell ref="I1882:J1882"/>
    <mergeCell ref="K1882:L1882"/>
    <mergeCell ref="B1883:D1883"/>
    <mergeCell ref="I1883:J1883"/>
    <mergeCell ref="K1883:L1883"/>
    <mergeCell ref="A1884:D1884"/>
    <mergeCell ref="I1884:J1884"/>
    <mergeCell ref="K1884:L1884"/>
    <mergeCell ref="A1885:D1885"/>
    <mergeCell ref="I1885:J1885"/>
    <mergeCell ref="K1885:L1885"/>
    <mergeCell ref="B1886:D1886"/>
    <mergeCell ref="I1886:J1886"/>
    <mergeCell ref="K1886:L1886"/>
    <mergeCell ref="B1887:D1887"/>
    <mergeCell ref="I1887:J1887"/>
    <mergeCell ref="K1887:L1887"/>
    <mergeCell ref="A1888:D1888"/>
    <mergeCell ref="I1888:J1888"/>
    <mergeCell ref="K1888:L1888"/>
    <mergeCell ref="B1889:D1889"/>
    <mergeCell ref="I1889:J1889"/>
    <mergeCell ref="K1889:L1889"/>
    <mergeCell ref="B1890:D1890"/>
    <mergeCell ref="I1890:J1890"/>
    <mergeCell ref="K1890:L1890"/>
    <mergeCell ref="B1891:D1891"/>
    <mergeCell ref="I1891:J1891"/>
    <mergeCell ref="K1891:L1891"/>
    <mergeCell ref="A1892:D1892"/>
    <mergeCell ref="I1892:J1892"/>
    <mergeCell ref="K1892:L1892"/>
    <mergeCell ref="A1893:D1893"/>
    <mergeCell ref="I1893:J1893"/>
    <mergeCell ref="K1893:L1893"/>
    <mergeCell ref="B1894:D1894"/>
    <mergeCell ref="I1894:J1894"/>
    <mergeCell ref="K1894:L1894"/>
    <mergeCell ref="B1895:D1895"/>
    <mergeCell ref="I1895:J1895"/>
    <mergeCell ref="K1895:L1895"/>
    <mergeCell ref="B1896:D1896"/>
    <mergeCell ref="I1896:J1896"/>
    <mergeCell ref="K1896:L1896"/>
    <mergeCell ref="A1897:D1897"/>
    <mergeCell ref="I1897:J1897"/>
    <mergeCell ref="K1897:L1897"/>
    <mergeCell ref="A1898:D1898"/>
    <mergeCell ref="I1898:J1898"/>
    <mergeCell ref="K1898:L1898"/>
    <mergeCell ref="B1899:D1899"/>
    <mergeCell ref="I1899:J1899"/>
    <mergeCell ref="K1899:L1899"/>
    <mergeCell ref="B1900:D1900"/>
    <mergeCell ref="I1900:J1900"/>
    <mergeCell ref="K1900:L1900"/>
    <mergeCell ref="A1901:D1901"/>
    <mergeCell ref="I1901:J1901"/>
    <mergeCell ref="K1901:L1901"/>
    <mergeCell ref="B1902:D1902"/>
    <mergeCell ref="I1902:J1902"/>
    <mergeCell ref="K1902:L1902"/>
    <mergeCell ref="B1903:D1903"/>
    <mergeCell ref="I1903:J1903"/>
    <mergeCell ref="K1903:L1903"/>
    <mergeCell ref="B1904:D1904"/>
    <mergeCell ref="I1904:J1904"/>
    <mergeCell ref="K1904:L1904"/>
    <mergeCell ref="A1905:D1905"/>
    <mergeCell ref="I1905:J1905"/>
    <mergeCell ref="K1905:L1905"/>
    <mergeCell ref="A1906:D1906"/>
    <mergeCell ref="I1906:J1906"/>
    <mergeCell ref="K1906:L1906"/>
    <mergeCell ref="B1907:D1907"/>
    <mergeCell ref="I1907:J1907"/>
    <mergeCell ref="K1907:L1907"/>
    <mergeCell ref="B1908:D1908"/>
    <mergeCell ref="I1908:J1908"/>
    <mergeCell ref="K1908:L1908"/>
    <mergeCell ref="A1909:D1909"/>
    <mergeCell ref="I1909:J1909"/>
    <mergeCell ref="K1909:L1909"/>
    <mergeCell ref="B1910:D1910"/>
    <mergeCell ref="I1910:J1910"/>
    <mergeCell ref="K1910:L1910"/>
    <mergeCell ref="B1911:D1911"/>
    <mergeCell ref="I1911:J1911"/>
    <mergeCell ref="K1911:L1911"/>
    <mergeCell ref="B1912:D1912"/>
    <mergeCell ref="I1912:J1912"/>
    <mergeCell ref="K1912:L1912"/>
    <mergeCell ref="A1913:D1913"/>
    <mergeCell ref="I1913:J1913"/>
    <mergeCell ref="K1913:L1913"/>
    <mergeCell ref="A1914:D1914"/>
    <mergeCell ref="I1914:J1914"/>
    <mergeCell ref="K1914:L1914"/>
    <mergeCell ref="B1915:D1915"/>
    <mergeCell ref="I1915:J1915"/>
    <mergeCell ref="K1915:L1915"/>
    <mergeCell ref="B1916:D1916"/>
    <mergeCell ref="I1916:J1916"/>
    <mergeCell ref="K1916:L1916"/>
    <mergeCell ref="A1917:D1917"/>
    <mergeCell ref="I1917:J1917"/>
    <mergeCell ref="K1917:L1917"/>
    <mergeCell ref="B1918:D1918"/>
    <mergeCell ref="I1918:J1918"/>
    <mergeCell ref="K1918:L1918"/>
    <mergeCell ref="B1919:D1919"/>
    <mergeCell ref="I1919:J1919"/>
    <mergeCell ref="K1919:L1919"/>
    <mergeCell ref="B1920:D1920"/>
    <mergeCell ref="I1920:J1920"/>
    <mergeCell ref="K1920:L1920"/>
    <mergeCell ref="A1921:D1921"/>
    <mergeCell ref="I1921:J1921"/>
    <mergeCell ref="K1921:L1921"/>
    <mergeCell ref="B1922:D1922"/>
    <mergeCell ref="I1922:J1922"/>
    <mergeCell ref="K1922:L1922"/>
    <mergeCell ref="A1923:D1923"/>
    <mergeCell ref="I1923:J1923"/>
    <mergeCell ref="K1923:L1923"/>
    <mergeCell ref="B1924:D1924"/>
    <mergeCell ref="I1924:J1924"/>
    <mergeCell ref="K1924:L1924"/>
    <mergeCell ref="A1925:D1925"/>
    <mergeCell ref="I1925:J1925"/>
    <mergeCell ref="K1925:L1925"/>
    <mergeCell ref="B1926:D1926"/>
    <mergeCell ref="I1926:J1926"/>
    <mergeCell ref="K1926:L1926"/>
    <mergeCell ref="A1927:D1927"/>
    <mergeCell ref="I1927:J1927"/>
    <mergeCell ref="K1927:L1927"/>
    <mergeCell ref="B1928:D1928"/>
    <mergeCell ref="I1928:J1928"/>
    <mergeCell ref="K1928:L1928"/>
    <mergeCell ref="A1929:D1929"/>
    <mergeCell ref="I1929:J1929"/>
    <mergeCell ref="K1929:L1929"/>
    <mergeCell ref="A1930:D1930"/>
    <mergeCell ref="I1930:J1930"/>
    <mergeCell ref="K1930:L1930"/>
    <mergeCell ref="B1931:D1931"/>
    <mergeCell ref="I1931:J1931"/>
    <mergeCell ref="K1931:L1931"/>
    <mergeCell ref="B1932:D1932"/>
    <mergeCell ref="I1932:J1932"/>
    <mergeCell ref="K1932:L1932"/>
    <mergeCell ref="B1933:D1933"/>
    <mergeCell ref="I1933:J1933"/>
    <mergeCell ref="K1933:L1933"/>
    <mergeCell ref="A1934:D1934"/>
    <mergeCell ref="I1934:J1934"/>
    <mergeCell ref="K1934:L1934"/>
    <mergeCell ref="B1935:D1935"/>
    <mergeCell ref="I1935:J1935"/>
    <mergeCell ref="K1935:L1935"/>
    <mergeCell ref="A1936:D1936"/>
    <mergeCell ref="I1936:J1936"/>
    <mergeCell ref="K1936:L1936"/>
    <mergeCell ref="B1937:D1937"/>
    <mergeCell ref="I1937:J1937"/>
    <mergeCell ref="K1937:L1937"/>
    <mergeCell ref="A1938:D1938"/>
    <mergeCell ref="I1938:J1938"/>
    <mergeCell ref="K1938:L1938"/>
    <mergeCell ref="A1939:D1939"/>
    <mergeCell ref="I1939:J1939"/>
    <mergeCell ref="K1939:L1939"/>
    <mergeCell ref="B1940:D1940"/>
    <mergeCell ref="I1940:J1940"/>
    <mergeCell ref="K1940:L1940"/>
    <mergeCell ref="B1941:D1941"/>
    <mergeCell ref="I1941:J1941"/>
    <mergeCell ref="K1941:L1941"/>
    <mergeCell ref="B1942:D1942"/>
    <mergeCell ref="I1942:J1942"/>
    <mergeCell ref="K1942:L1942"/>
    <mergeCell ref="A1943:D1943"/>
    <mergeCell ref="I1943:J1943"/>
    <mergeCell ref="K1943:L1943"/>
    <mergeCell ref="A1944:D1944"/>
    <mergeCell ref="I1944:J1944"/>
    <mergeCell ref="K1944:L1944"/>
    <mergeCell ref="B1945:D1945"/>
    <mergeCell ref="I1945:J1945"/>
    <mergeCell ref="K1945:L1945"/>
    <mergeCell ref="B1946:D1946"/>
    <mergeCell ref="I1946:J1946"/>
    <mergeCell ref="K1946:L1946"/>
    <mergeCell ref="B1947:D1947"/>
    <mergeCell ref="I1947:J1947"/>
    <mergeCell ref="K1947:L1947"/>
    <mergeCell ref="A1948:D1948"/>
    <mergeCell ref="I1948:J1948"/>
    <mergeCell ref="K1948:L1948"/>
    <mergeCell ref="B1949:D1949"/>
    <mergeCell ref="I1949:J1949"/>
    <mergeCell ref="K1949:L1949"/>
    <mergeCell ref="A1950:D1950"/>
    <mergeCell ref="I1950:J1950"/>
    <mergeCell ref="K1950:L1950"/>
    <mergeCell ref="A1951:D1951"/>
    <mergeCell ref="I1951:J1951"/>
    <mergeCell ref="K1951:L1951"/>
    <mergeCell ref="B1952:D1952"/>
    <mergeCell ref="I1952:J1952"/>
    <mergeCell ref="K1952:L1952"/>
    <mergeCell ref="B1953:D1953"/>
    <mergeCell ref="I1953:J1953"/>
    <mergeCell ref="K1953:L1953"/>
    <mergeCell ref="B1954:D1954"/>
    <mergeCell ref="I1954:J1954"/>
    <mergeCell ref="K1954:L1954"/>
    <mergeCell ref="A1955:D1955"/>
    <mergeCell ref="I1955:J1955"/>
    <mergeCell ref="K1955:L1955"/>
    <mergeCell ref="A1956:D1956"/>
    <mergeCell ref="I1956:J1956"/>
    <mergeCell ref="K1956:L1956"/>
    <mergeCell ref="B1957:D1957"/>
    <mergeCell ref="I1957:J1957"/>
    <mergeCell ref="K1957:L1957"/>
    <mergeCell ref="B1958:D1958"/>
    <mergeCell ref="I1958:J1958"/>
    <mergeCell ref="K1958:L1958"/>
    <mergeCell ref="B1959:D1959"/>
    <mergeCell ref="I1959:J1959"/>
    <mergeCell ref="K1959:L1959"/>
    <mergeCell ref="A1960:D1960"/>
    <mergeCell ref="I1960:J1960"/>
    <mergeCell ref="K1960:L1960"/>
    <mergeCell ref="A1961:D1961"/>
    <mergeCell ref="I1961:J1961"/>
    <mergeCell ref="K1961:L1961"/>
    <mergeCell ref="B1962:D1962"/>
    <mergeCell ref="I1962:J1962"/>
    <mergeCell ref="K1962:L1962"/>
    <mergeCell ref="B1963:D1963"/>
    <mergeCell ref="I1963:J1963"/>
    <mergeCell ref="K1963:L1963"/>
    <mergeCell ref="B1964:D1964"/>
    <mergeCell ref="I1964:J1964"/>
    <mergeCell ref="K1964:L1964"/>
    <mergeCell ref="A1965:D1965"/>
    <mergeCell ref="I1965:J1965"/>
    <mergeCell ref="K1965:L1965"/>
    <mergeCell ref="A1966:D1966"/>
    <mergeCell ref="I1966:J1966"/>
    <mergeCell ref="K1966:L1966"/>
    <mergeCell ref="B1967:D1967"/>
    <mergeCell ref="I1967:J1967"/>
    <mergeCell ref="K1967:L1967"/>
    <mergeCell ref="B1968:D1968"/>
    <mergeCell ref="I1968:J1968"/>
    <mergeCell ref="K1968:L1968"/>
    <mergeCell ref="B1969:D1969"/>
    <mergeCell ref="I1969:J1969"/>
    <mergeCell ref="K1969:L1969"/>
    <mergeCell ref="A1970:D1970"/>
    <mergeCell ref="I1970:J1970"/>
    <mergeCell ref="K1970:L1970"/>
    <mergeCell ref="A1971:D1971"/>
    <mergeCell ref="I1971:J1971"/>
    <mergeCell ref="K1971:L1971"/>
    <mergeCell ref="B1972:D1972"/>
    <mergeCell ref="I1972:J1972"/>
    <mergeCell ref="K1972:L1972"/>
    <mergeCell ref="B1973:D1973"/>
    <mergeCell ref="I1973:J1973"/>
    <mergeCell ref="K1973:L1973"/>
    <mergeCell ref="B1974:D1974"/>
    <mergeCell ref="I1974:J1974"/>
    <mergeCell ref="K1974:L1974"/>
    <mergeCell ref="A1975:D1975"/>
    <mergeCell ref="I1975:J1975"/>
    <mergeCell ref="K1975:L1975"/>
    <mergeCell ref="A1976:D1976"/>
    <mergeCell ref="I1976:J1976"/>
    <mergeCell ref="K1976:L1976"/>
    <mergeCell ref="B1977:D1977"/>
    <mergeCell ref="I1977:J1977"/>
    <mergeCell ref="K1977:L1977"/>
    <mergeCell ref="B1978:D1978"/>
    <mergeCell ref="I1978:J1978"/>
    <mergeCell ref="K1978:L1978"/>
    <mergeCell ref="B1979:D1979"/>
    <mergeCell ref="I1979:J1979"/>
    <mergeCell ref="K1979:L1979"/>
    <mergeCell ref="A1980:D1980"/>
    <mergeCell ref="I1980:J1980"/>
    <mergeCell ref="K1980:L1980"/>
    <mergeCell ref="A1981:D1981"/>
    <mergeCell ref="I1981:J1981"/>
    <mergeCell ref="K1981:L1981"/>
    <mergeCell ref="B1982:D1982"/>
    <mergeCell ref="I1982:J1982"/>
    <mergeCell ref="K1982:L1982"/>
    <mergeCell ref="B1983:D1983"/>
    <mergeCell ref="I1983:J1983"/>
    <mergeCell ref="K1983:L1983"/>
    <mergeCell ref="B1984:D1984"/>
    <mergeCell ref="I1984:J1984"/>
    <mergeCell ref="K1984:L1984"/>
    <mergeCell ref="A1985:D1985"/>
    <mergeCell ref="I1985:J1985"/>
    <mergeCell ref="K1985:L1985"/>
    <mergeCell ref="A1986:D1986"/>
    <mergeCell ref="I1986:J1986"/>
    <mergeCell ref="K1986:L1986"/>
    <mergeCell ref="B1987:D1987"/>
    <mergeCell ref="I1987:J1987"/>
    <mergeCell ref="K1987:L1987"/>
    <mergeCell ref="B1988:D1988"/>
    <mergeCell ref="I1988:J1988"/>
    <mergeCell ref="K1988:L1988"/>
    <mergeCell ref="A1989:D1989"/>
    <mergeCell ref="I1989:J1989"/>
    <mergeCell ref="K1989:L1989"/>
    <mergeCell ref="B1990:D1990"/>
    <mergeCell ref="I1990:J1990"/>
    <mergeCell ref="K1990:L1990"/>
    <mergeCell ref="B1991:D1991"/>
    <mergeCell ref="I1991:J1991"/>
    <mergeCell ref="K1991:L1991"/>
    <mergeCell ref="B1992:D1992"/>
    <mergeCell ref="I1992:J1992"/>
    <mergeCell ref="K1992:L1992"/>
    <mergeCell ref="A1993:D1993"/>
    <mergeCell ref="I1993:J1993"/>
    <mergeCell ref="K1993:L1993"/>
    <mergeCell ref="A1994:D1994"/>
    <mergeCell ref="I1994:J1994"/>
    <mergeCell ref="K1994:L1994"/>
    <mergeCell ref="B1995:D1995"/>
    <mergeCell ref="I1995:J1995"/>
    <mergeCell ref="K1995:L1995"/>
    <mergeCell ref="B1996:D1996"/>
    <mergeCell ref="I1996:J1996"/>
    <mergeCell ref="K1996:L1996"/>
    <mergeCell ref="B1997:D1997"/>
    <mergeCell ref="I1997:J1997"/>
    <mergeCell ref="K1997:L1997"/>
    <mergeCell ref="A1998:D1998"/>
    <mergeCell ref="I1998:J1998"/>
    <mergeCell ref="K1998:L1998"/>
    <mergeCell ref="A1999:D1999"/>
    <mergeCell ref="I1999:J1999"/>
    <mergeCell ref="K1999:L1999"/>
    <mergeCell ref="B2000:D2000"/>
    <mergeCell ref="I2000:J2000"/>
    <mergeCell ref="K2000:L2000"/>
    <mergeCell ref="B2001:D2001"/>
    <mergeCell ref="I2001:J2001"/>
    <mergeCell ref="K2001:L2001"/>
    <mergeCell ref="B2002:D2002"/>
    <mergeCell ref="I2002:J2002"/>
    <mergeCell ref="K2002:L2002"/>
    <mergeCell ref="A2003:D2003"/>
    <mergeCell ref="I2003:J2003"/>
    <mergeCell ref="K2003:L2003"/>
    <mergeCell ref="A2004:D2004"/>
    <mergeCell ref="I2004:J2004"/>
    <mergeCell ref="K2004:L2004"/>
    <mergeCell ref="B2005:D2005"/>
    <mergeCell ref="I2005:J2005"/>
    <mergeCell ref="K2005:L2005"/>
    <mergeCell ref="B2006:D2006"/>
    <mergeCell ref="I2006:J2006"/>
    <mergeCell ref="K2006:L2006"/>
    <mergeCell ref="B2007:D2007"/>
    <mergeCell ref="I2007:J2007"/>
    <mergeCell ref="K2007:L2007"/>
    <mergeCell ref="A2008:D2008"/>
    <mergeCell ref="I2008:J2008"/>
    <mergeCell ref="K2008:L2008"/>
    <mergeCell ref="A2009:D2009"/>
    <mergeCell ref="I2009:J2009"/>
    <mergeCell ref="K2009:L2009"/>
    <mergeCell ref="B2010:D2010"/>
    <mergeCell ref="I2010:J2010"/>
    <mergeCell ref="K2010:L2010"/>
    <mergeCell ref="B2011:D2011"/>
    <mergeCell ref="I2011:J2011"/>
    <mergeCell ref="K2011:L2011"/>
    <mergeCell ref="B2012:D2012"/>
    <mergeCell ref="I2012:J2012"/>
    <mergeCell ref="K2012:L2012"/>
    <mergeCell ref="A2013:D2013"/>
    <mergeCell ref="I2013:J2013"/>
    <mergeCell ref="K2013:L2013"/>
    <mergeCell ref="A2014:D2014"/>
    <mergeCell ref="I2014:J2014"/>
    <mergeCell ref="K2014:L2014"/>
    <mergeCell ref="B2015:D2015"/>
    <mergeCell ref="I2015:J2015"/>
    <mergeCell ref="K2015:L2015"/>
    <mergeCell ref="B2016:D2016"/>
    <mergeCell ref="I2016:J2016"/>
    <mergeCell ref="K2016:L2016"/>
    <mergeCell ref="B2017:D2017"/>
    <mergeCell ref="I2017:J2017"/>
    <mergeCell ref="K2017:L2017"/>
    <mergeCell ref="A2018:D2018"/>
    <mergeCell ref="I2018:J2018"/>
    <mergeCell ref="K2018:L2018"/>
    <mergeCell ref="A2019:D2019"/>
    <mergeCell ref="I2019:J2019"/>
    <mergeCell ref="K2019:L2019"/>
    <mergeCell ref="B2020:D2020"/>
    <mergeCell ref="I2020:J2020"/>
    <mergeCell ref="K2020:L2020"/>
    <mergeCell ref="B2021:D2021"/>
    <mergeCell ref="I2021:J2021"/>
    <mergeCell ref="K2021:L2021"/>
    <mergeCell ref="B2022:D2022"/>
    <mergeCell ref="I2022:J2022"/>
    <mergeCell ref="K2022:L2022"/>
    <mergeCell ref="A2023:D2023"/>
    <mergeCell ref="I2023:J2023"/>
    <mergeCell ref="K2023:L2023"/>
    <mergeCell ref="A2024:D2024"/>
    <mergeCell ref="I2024:J2024"/>
    <mergeCell ref="K2024:L2024"/>
    <mergeCell ref="B2025:D2025"/>
    <mergeCell ref="I2025:J2025"/>
    <mergeCell ref="K2025:L2025"/>
    <mergeCell ref="B2026:D2026"/>
    <mergeCell ref="I2026:J2026"/>
    <mergeCell ref="K2026:L2026"/>
    <mergeCell ref="A2027:D2027"/>
    <mergeCell ref="I2027:J2027"/>
    <mergeCell ref="K2027:L2027"/>
    <mergeCell ref="B2028:D2028"/>
    <mergeCell ref="I2028:J2028"/>
    <mergeCell ref="K2028:L2028"/>
    <mergeCell ref="B2029:D2029"/>
    <mergeCell ref="I2029:J2029"/>
    <mergeCell ref="K2029:L2029"/>
    <mergeCell ref="B2030:D2030"/>
    <mergeCell ref="I2030:J2030"/>
    <mergeCell ref="K2030:L2030"/>
    <mergeCell ref="A2031:D2031"/>
    <mergeCell ref="I2031:J2031"/>
    <mergeCell ref="K2031:L2031"/>
    <mergeCell ref="B2032:D2032"/>
    <mergeCell ref="I2032:J2032"/>
    <mergeCell ref="K2032:L2032"/>
    <mergeCell ref="A2033:D2033"/>
    <mergeCell ref="I2033:J2033"/>
    <mergeCell ref="K2033:L2033"/>
    <mergeCell ref="A2034:D2034"/>
    <mergeCell ref="I2034:J2034"/>
    <mergeCell ref="K2034:L2034"/>
    <mergeCell ref="B2035:D2035"/>
    <mergeCell ref="I2035:J2035"/>
    <mergeCell ref="K2035:L2035"/>
    <mergeCell ref="B2036:D2036"/>
    <mergeCell ref="I2036:J2036"/>
    <mergeCell ref="K2036:L2036"/>
    <mergeCell ref="A2037:D2037"/>
    <mergeCell ref="I2037:J2037"/>
    <mergeCell ref="K2037:L2037"/>
    <mergeCell ref="B2038:D2038"/>
    <mergeCell ref="I2038:J2038"/>
    <mergeCell ref="K2038:L2038"/>
    <mergeCell ref="B2039:D2039"/>
    <mergeCell ref="I2039:J2039"/>
    <mergeCell ref="K2039:L2039"/>
    <mergeCell ref="B2040:D2040"/>
    <mergeCell ref="I2040:J2040"/>
    <mergeCell ref="K2040:L2040"/>
    <mergeCell ref="B2041:D2041"/>
    <mergeCell ref="I2041:J2041"/>
    <mergeCell ref="K2041:L2041"/>
    <mergeCell ref="B2042:D2042"/>
    <mergeCell ref="I2042:J2042"/>
    <mergeCell ref="K2042:L2042"/>
    <mergeCell ref="A2043:Q2043"/>
  </mergeCells>
  <printOptions/>
  <pageMargins left="0" right="0" top="0.39375" bottom="0.39375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1282</v>
      </c>
    </row>
    <row r="2" ht="12.75">
      <c r="A2">
        <f>Report!$E$9</f>
        <v>5000</v>
      </c>
    </row>
    <row r="3" ht="12.75">
      <c r="A3">
        <f>Report!$E$17</f>
        <v>120000</v>
      </c>
    </row>
    <row r="4" ht="12.75">
      <c r="A4">
        <f>Report!$E$25</f>
        <v>115113.46</v>
      </c>
    </row>
    <row r="5" ht="12.75">
      <c r="A5">
        <f>Report!$E$27</f>
        <v>9093.06</v>
      </c>
    </row>
    <row r="6" ht="12.75">
      <c r="A6">
        <f>Report!$E$29</f>
        <v>697305.7</v>
      </c>
    </row>
    <row r="7" ht="12.75">
      <c r="A7">
        <f>Report!$E$31</f>
        <v>28013.88</v>
      </c>
    </row>
    <row r="8" ht="12.75">
      <c r="A8">
        <f>Report!$E$36</f>
        <v>102985.08</v>
      </c>
    </row>
    <row r="9" ht="12.75">
      <c r="A9">
        <f>Report!$E$38</f>
        <v>1091820.94</v>
      </c>
    </row>
    <row r="10" ht="12.75">
      <c r="A10">
        <f>Report!$E$40</f>
        <v>190000</v>
      </c>
    </row>
    <row r="11" ht="12.75">
      <c r="A11">
        <f>Report!$E$42</f>
        <v>459681.46</v>
      </c>
    </row>
    <row r="12" ht="12.75">
      <c r="A12">
        <f>Report!$E$47</f>
        <v>45295.04</v>
      </c>
    </row>
    <row r="13" ht="12.75">
      <c r="A13">
        <f>Report!$E$52</f>
        <v>210000</v>
      </c>
    </row>
    <row r="14" ht="12.75">
      <c r="A14">
        <f>Report!$E$57</f>
        <v>826324.51</v>
      </c>
    </row>
    <row r="15" ht="12.75">
      <c r="A15">
        <f>Report!$E$59</f>
        <v>13424.55</v>
      </c>
    </row>
    <row r="16" ht="12.75">
      <c r="A16">
        <f>Report!$E$64</f>
        <v>140000</v>
      </c>
    </row>
    <row r="17" ht="12.75">
      <c r="A17">
        <f>Report!$E$69</f>
        <v>10000</v>
      </c>
    </row>
    <row r="18" ht="12.75">
      <c r="A18">
        <f>Report!$E$74</f>
        <v>2000</v>
      </c>
    </row>
    <row r="19" ht="12.75">
      <c r="A19">
        <f>Report!$E$79</f>
        <v>15000</v>
      </c>
    </row>
    <row r="20" ht="12.75">
      <c r="A20">
        <f>Report!$E$84</f>
        <v>0</v>
      </c>
    </row>
    <row r="21" ht="12.75">
      <c r="A21">
        <f>Report!$E$86</f>
        <v>45000</v>
      </c>
    </row>
    <row r="22" ht="12.75">
      <c r="A22">
        <f>Report!$E$88</f>
        <v>3000</v>
      </c>
    </row>
    <row r="23" ht="12.75">
      <c r="A23">
        <f>Report!$E$90</f>
        <v>15000</v>
      </c>
    </row>
    <row r="24" ht="12.75">
      <c r="A24">
        <f>Report!$E$95</f>
        <v>6000</v>
      </c>
    </row>
    <row r="25" ht="12.75">
      <c r="A25">
        <f>Report!$E$100</f>
        <v>90000</v>
      </c>
    </row>
    <row r="26" ht="12.75">
      <c r="A26">
        <f>Report!$E$105</f>
        <v>0</v>
      </c>
    </row>
    <row r="27" ht="12.75">
      <c r="A27">
        <f>Report!$E$107</f>
        <v>19500</v>
      </c>
    </row>
    <row r="28" ht="12.75">
      <c r="A28">
        <f>Report!$E$109</f>
        <v>50000</v>
      </c>
    </row>
    <row r="29" ht="12.75">
      <c r="A29">
        <f>Report!$E$114</f>
        <v>0</v>
      </c>
    </row>
    <row r="30" ht="12.75">
      <c r="A30">
        <f>Report!$E$122</f>
        <v>0</v>
      </c>
    </row>
    <row r="31" ht="12.75">
      <c r="A31">
        <f>Report!$E$127</f>
        <v>1000</v>
      </c>
    </row>
    <row r="32" ht="12.75">
      <c r="A32">
        <f>Report!$E$132</f>
        <v>0</v>
      </c>
    </row>
    <row r="33" ht="12.75">
      <c r="A33">
        <f>Report!$E$134</f>
        <v>20000</v>
      </c>
    </row>
    <row r="34" ht="12.75">
      <c r="A34">
        <f>Report!$E$136</f>
        <v>10000</v>
      </c>
    </row>
    <row r="35" ht="12.75">
      <c r="A35">
        <f>Report!$E$141</f>
        <v>30000</v>
      </c>
    </row>
    <row r="36" ht="12.75">
      <c r="A36">
        <f>Report!$E$146</f>
        <v>0</v>
      </c>
    </row>
    <row r="37" ht="12.75">
      <c r="A37">
        <f>Report!$E$148</f>
        <v>565000</v>
      </c>
    </row>
    <row r="38" ht="12.75">
      <c r="A38">
        <f>Report!$E$153</f>
        <v>10000</v>
      </c>
    </row>
    <row r="39" ht="12.75">
      <c r="A39">
        <f>Report!$E$158</f>
        <v>0</v>
      </c>
    </row>
    <row r="40" ht="12.75">
      <c r="A40">
        <f>Report!$E$166</f>
        <v>455924.41</v>
      </c>
    </row>
    <row r="41" ht="12.75">
      <c r="A41">
        <f>Report!$E$174</f>
        <v>41748.06</v>
      </c>
    </row>
    <row r="42" ht="12.75">
      <c r="A42">
        <f>Report!$E$176</f>
        <v>45465.3</v>
      </c>
    </row>
    <row r="43" ht="12.75">
      <c r="A43">
        <f>Report!$E$178</f>
        <v>10727.78</v>
      </c>
    </row>
    <row r="44" ht="12.75">
      <c r="A44">
        <f>Report!$E$180</f>
        <v>84041.64</v>
      </c>
    </row>
    <row r="45" ht="12.75">
      <c r="A45">
        <f>Report!$E$182</f>
        <v>79644.5</v>
      </c>
    </row>
    <row r="46" ht="12.75">
      <c r="A46">
        <f>Report!$E$187</f>
        <v>128476.04</v>
      </c>
    </row>
    <row r="47" ht="12.75">
      <c r="A47">
        <f>Report!$E$189</f>
        <v>275286.9</v>
      </c>
    </row>
    <row r="48" ht="12.75">
      <c r="A48">
        <f>Report!$E$191</f>
        <v>29838.6</v>
      </c>
    </row>
    <row r="49" ht="12.75">
      <c r="A49">
        <f>Report!$E$196</f>
        <v>51147.32</v>
      </c>
    </row>
    <row r="50" ht="12.75">
      <c r="A50">
        <f>Report!$E$198</f>
        <v>6436.5</v>
      </c>
    </row>
    <row r="51" ht="12.75">
      <c r="A51">
        <f>Report!$E$203</f>
        <v>704702.18</v>
      </c>
    </row>
    <row r="52" ht="12.75">
      <c r="A52">
        <f>Report!$E$208</f>
        <v>229425.52</v>
      </c>
    </row>
    <row r="53" ht="12.75">
      <c r="A53">
        <f>Report!$E$210</f>
        <v>239113.06</v>
      </c>
    </row>
    <row r="54" ht="12.75">
      <c r="A54">
        <f>Report!$E$212</f>
        <v>19002.66</v>
      </c>
    </row>
    <row r="55" ht="12.75">
      <c r="A55">
        <f>Report!$E$217</f>
        <v>120000</v>
      </c>
    </row>
    <row r="56" ht="12.75">
      <c r="A56">
        <f>Report!$E$222</f>
        <v>20000</v>
      </c>
    </row>
    <row r="57" ht="12.75">
      <c r="A57">
        <f>Report!$E$227</f>
        <v>1900</v>
      </c>
    </row>
    <row r="58" ht="12.75">
      <c r="A58">
        <f>Report!$E$229</f>
        <v>25000</v>
      </c>
    </row>
    <row r="59" ht="12.75">
      <c r="A59">
        <f>Report!$E$234</f>
        <v>800</v>
      </c>
    </row>
    <row r="60" ht="12.75">
      <c r="A60">
        <f>Report!$E$239</f>
        <v>1100</v>
      </c>
    </row>
    <row r="61" ht="12.75">
      <c r="A61">
        <f>Report!$E$244</f>
        <v>25000</v>
      </c>
    </row>
    <row r="62" ht="12.75">
      <c r="A62">
        <f>Report!$E$249</f>
        <v>750000</v>
      </c>
    </row>
    <row r="63" ht="12.75">
      <c r="A63">
        <f>Report!$E$251</f>
        <v>0</v>
      </c>
    </row>
    <row r="64" ht="12.75">
      <c r="A64">
        <f>Report!$E$253</f>
        <v>0</v>
      </c>
    </row>
    <row r="65" ht="12.75">
      <c r="A65">
        <f>Report!$E$258</f>
        <v>0</v>
      </c>
    </row>
    <row r="66" ht="12.75">
      <c r="A66">
        <f>Report!$E$263</f>
        <v>0</v>
      </c>
    </row>
    <row r="67" ht="12.75">
      <c r="A67">
        <f>Report!$E$268</f>
        <v>0</v>
      </c>
    </row>
    <row r="68" ht="12.75">
      <c r="A68">
        <f>Report!$E$270</f>
        <v>455598.12</v>
      </c>
    </row>
    <row r="69" ht="12.75">
      <c r="A69">
        <f>Report!$E$272</f>
        <v>0</v>
      </c>
    </row>
    <row r="70" ht="12.75">
      <c r="A70">
        <f>Report!$E$280</f>
        <v>20000</v>
      </c>
    </row>
    <row r="71" ht="12.75">
      <c r="A71">
        <f>Report!$E$285</f>
        <v>0</v>
      </c>
    </row>
    <row r="72" ht="12.75">
      <c r="A72">
        <f>Report!$E$287</f>
        <v>0</v>
      </c>
    </row>
    <row r="73" ht="12.75">
      <c r="A73">
        <f>Report!$E$289</f>
        <v>0</v>
      </c>
    </row>
    <row r="74" ht="12.75">
      <c r="A74">
        <f>Report!$E$291</f>
        <v>0</v>
      </c>
    </row>
    <row r="75" ht="12.75">
      <c r="A75">
        <f>Report!$E$293</f>
        <v>0</v>
      </c>
    </row>
    <row r="76" ht="12.75">
      <c r="A76">
        <f>Report!$E$295</f>
        <v>0</v>
      </c>
    </row>
    <row r="77" ht="12.75">
      <c r="A77">
        <f>Report!$E$297</f>
        <v>615600.24</v>
      </c>
    </row>
    <row r="78" ht="12.75">
      <c r="A78">
        <f>Report!$E$305</f>
        <v>450000</v>
      </c>
    </row>
    <row r="79" ht="12.75">
      <c r="A79">
        <f>Report!$E$307</f>
        <v>0</v>
      </c>
    </row>
    <row r="80" ht="12.75">
      <c r="A80">
        <f>Report!$E$315</f>
        <v>5000000</v>
      </c>
    </row>
    <row r="81" ht="12.75">
      <c r="A81">
        <f>Report!$E$320</f>
        <v>0</v>
      </c>
    </row>
    <row r="82" ht="12.75">
      <c r="A82">
        <f>Report!$E$322</f>
        <v>0</v>
      </c>
    </row>
    <row r="83" ht="12.75">
      <c r="A83">
        <f>Report!$E$324</f>
        <v>0</v>
      </c>
    </row>
    <row r="84" ht="12.75">
      <c r="A84">
        <f>Report!$E$326</f>
        <v>358518.2</v>
      </c>
    </row>
    <row r="85" ht="12.75">
      <c r="A85">
        <f>Report!$E$334</f>
        <v>1000</v>
      </c>
    </row>
    <row r="86" ht="12.75">
      <c r="A86">
        <f>Report!$E$339</f>
        <v>940000</v>
      </c>
    </row>
    <row r="87" ht="12.75">
      <c r="A87">
        <f>Report!$E$344</f>
        <v>100</v>
      </c>
    </row>
    <row r="88" ht="12.75">
      <c r="A88">
        <f>Report!$E$346</f>
        <v>2082891.86</v>
      </c>
    </row>
    <row r="89" ht="12.75">
      <c r="A89">
        <f>Report!$E$354</f>
        <v>2656924.47</v>
      </c>
    </row>
    <row r="90" ht="12.75">
      <c r="A90">
        <f>Report!$E$362</f>
        <v>53130</v>
      </c>
    </row>
    <row r="91" ht="12.75">
      <c r="A91">
        <f>Report!$E$367</f>
        <v>0</v>
      </c>
    </row>
    <row r="92" ht="12.75">
      <c r="A92">
        <f>Report!$E$372</f>
        <v>0</v>
      </c>
    </row>
    <row r="93" ht="12.75">
      <c r="A93">
        <f>Report!$E$374</f>
        <v>17532.9</v>
      </c>
    </row>
    <row r="94" ht="12.75">
      <c r="A94">
        <f>Report!$E$379</f>
        <v>1000</v>
      </c>
    </row>
    <row r="95" ht="12.75">
      <c r="A95">
        <f>Report!$E$384</f>
        <v>4500</v>
      </c>
    </row>
    <row r="96" ht="12.75">
      <c r="A96">
        <f>Report!$E$389</f>
        <v>6000</v>
      </c>
    </row>
    <row r="97" ht="12.75">
      <c r="A97">
        <f>Report!$E$391</f>
        <v>5500</v>
      </c>
    </row>
    <row r="98" ht="12.75">
      <c r="A98">
        <f>Report!$E$393</f>
        <v>1000</v>
      </c>
    </row>
    <row r="99" ht="12.75">
      <c r="A99">
        <f>Report!$E$398</f>
        <v>71290.34</v>
      </c>
    </row>
    <row r="100" ht="12.75">
      <c r="A100">
        <f>Report!$E$400</f>
        <v>287227.86</v>
      </c>
    </row>
    <row r="101" ht="12.75">
      <c r="A101">
        <f>Report!$E$405</f>
        <v>25000</v>
      </c>
    </row>
    <row r="102" ht="12.75">
      <c r="A102">
        <f>Report!$E$413</f>
        <v>14006.94</v>
      </c>
    </row>
    <row r="103" ht="12.75">
      <c r="A103">
        <f>Report!$E$418</f>
        <v>1825.68</v>
      </c>
    </row>
    <row r="104" ht="12.75">
      <c r="A104">
        <f>Report!$E$420</f>
        <v>16848.16</v>
      </c>
    </row>
    <row r="105" ht="12.75">
      <c r="A105">
        <f>Report!$E$422</f>
        <v>6693.82</v>
      </c>
    </row>
    <row r="106" ht="12.75">
      <c r="A106">
        <f>Report!$E$427</f>
        <v>12993.62</v>
      </c>
    </row>
    <row r="107" ht="12.75">
      <c r="A107">
        <f>Report!$E$432</f>
        <v>75000</v>
      </c>
    </row>
    <row r="108" ht="12.75">
      <c r="A108">
        <f>Report!$E$437</f>
        <v>420000</v>
      </c>
    </row>
    <row r="109" ht="12.75">
      <c r="A109">
        <f>Report!$E$442</f>
        <v>0</v>
      </c>
    </row>
    <row r="110" ht="12.75">
      <c r="A110">
        <f>Report!$E$444</f>
        <v>475000</v>
      </c>
    </row>
    <row r="111" ht="12.75">
      <c r="A111">
        <f>Report!$E$446</f>
        <v>0</v>
      </c>
    </row>
    <row r="112" ht="12.75">
      <c r="A112">
        <f>Report!$E$451</f>
        <v>0</v>
      </c>
    </row>
    <row r="113" ht="12.75">
      <c r="A113">
        <f>Report!$E$459</f>
        <v>9093.06</v>
      </c>
    </row>
    <row r="114" ht="12.75">
      <c r="A114">
        <f>Report!$E$464</f>
        <v>1240.92</v>
      </c>
    </row>
    <row r="115" ht="12.75">
      <c r="A115">
        <f>Report!$E$466</f>
        <v>5657.26</v>
      </c>
    </row>
    <row r="116" ht="12.75">
      <c r="A116">
        <f>Report!$E$468</f>
        <v>12034.4</v>
      </c>
    </row>
    <row r="117" ht="12.75">
      <c r="A117">
        <f>Report!$E$473</f>
        <v>36967.56</v>
      </c>
    </row>
    <row r="118" ht="12.75">
      <c r="A118">
        <f>Report!$E$478</f>
        <v>14773.08</v>
      </c>
    </row>
    <row r="119" ht="12.75">
      <c r="A119">
        <f>Report!$E$480</f>
        <v>9248.46</v>
      </c>
    </row>
    <row r="120" ht="12.75">
      <c r="A120">
        <f>Report!$E$485</f>
        <v>500</v>
      </c>
    </row>
    <row r="121" ht="12.75">
      <c r="A121">
        <f>Report!$E$490</f>
        <v>20000</v>
      </c>
    </row>
    <row r="122" ht="12.75">
      <c r="A122">
        <f>Report!$E$498</f>
        <v>12000</v>
      </c>
    </row>
    <row r="123" ht="12.75">
      <c r="A123">
        <f>Report!$E$503</f>
        <v>20000</v>
      </c>
    </row>
    <row r="124" ht="12.75">
      <c r="A124">
        <f>Report!$E$508</f>
        <v>495000</v>
      </c>
    </row>
    <row r="125" ht="12.75">
      <c r="A125">
        <f>Report!$E$510</f>
        <v>0</v>
      </c>
    </row>
    <row r="126" ht="12.75">
      <c r="A126">
        <f>Report!$E$515</f>
        <v>0</v>
      </c>
    </row>
    <row r="127" ht="12.75">
      <c r="A127">
        <f>Report!$E$520</f>
        <v>450000</v>
      </c>
    </row>
    <row r="128" ht="12.75">
      <c r="A128">
        <f>Report!$E$528</f>
        <v>14006.94</v>
      </c>
    </row>
    <row r="129" ht="12.75">
      <c r="A129">
        <f>Report!$E$533</f>
        <v>1825.68</v>
      </c>
    </row>
    <row r="130" ht="12.75">
      <c r="A130">
        <f>Report!$E$535</f>
        <v>6693.82</v>
      </c>
    </row>
    <row r="131" ht="12.75">
      <c r="A131">
        <f>Report!$E$537</f>
        <v>16848.16</v>
      </c>
    </row>
    <row r="132" ht="12.75">
      <c r="A132">
        <f>Report!$E$542</f>
        <v>12993.62</v>
      </c>
    </row>
    <row r="133" ht="12.75">
      <c r="A133">
        <f>Report!$E$547</f>
        <v>600</v>
      </c>
    </row>
    <row r="134" ht="12.75">
      <c r="A134">
        <f>Report!$E$552</f>
        <v>2500</v>
      </c>
    </row>
    <row r="135" ht="12.75">
      <c r="A135">
        <f>Report!$E$557</f>
        <v>30000</v>
      </c>
    </row>
    <row r="136" ht="12.75">
      <c r="A136">
        <f>Report!$E$562</f>
        <v>1000</v>
      </c>
    </row>
    <row r="137" ht="12.75">
      <c r="A137">
        <f>Report!$E$567</f>
        <v>15000</v>
      </c>
    </row>
    <row r="138" ht="12.75">
      <c r="A138">
        <f>Report!$E$575</f>
        <v>0</v>
      </c>
    </row>
    <row r="139" ht="12.75">
      <c r="A139">
        <f>Report!$E$580</f>
        <v>3000</v>
      </c>
    </row>
    <row r="140" ht="12.75">
      <c r="A140">
        <f>Report!$E$585</f>
        <v>0</v>
      </c>
    </row>
    <row r="141" ht="12.75">
      <c r="A141">
        <f>Report!$E$587</f>
        <v>17000</v>
      </c>
    </row>
    <row r="142" ht="12.75">
      <c r="A142">
        <f>Report!$E$589</f>
        <v>20000</v>
      </c>
    </row>
    <row r="143" ht="12.75">
      <c r="A143">
        <f>Report!$E$591</f>
        <v>118000</v>
      </c>
    </row>
    <row r="144" ht="12.75">
      <c r="A144">
        <f>Report!$E$593</f>
        <v>30000</v>
      </c>
    </row>
    <row r="145" ht="12.75">
      <c r="A145">
        <f>Report!$E$601</f>
        <v>10493.24</v>
      </c>
    </row>
    <row r="146" ht="12.75">
      <c r="A146">
        <f>Report!$E$603</f>
        <v>9093.06</v>
      </c>
    </row>
    <row r="147" ht="12.75">
      <c r="A147">
        <f>Report!$E$605</f>
        <v>84041.64</v>
      </c>
    </row>
    <row r="148" ht="12.75">
      <c r="A148">
        <f>Report!$E$607</f>
        <v>31857.8</v>
      </c>
    </row>
    <row r="149" ht="12.75">
      <c r="A149">
        <f>Report!$E$612</f>
        <v>153438.6</v>
      </c>
    </row>
    <row r="150" ht="12.75">
      <c r="A150">
        <f>Report!$E$614</f>
        <v>64644.02</v>
      </c>
    </row>
    <row r="151" ht="12.75">
      <c r="A151">
        <f>Report!$E$616</f>
        <v>16663.32</v>
      </c>
    </row>
    <row r="152" ht="12.75">
      <c r="A152">
        <f>Report!$E$621</f>
        <v>2183381.26</v>
      </c>
    </row>
    <row r="153" ht="12.75">
      <c r="A153">
        <f>Report!$E$626</f>
        <v>91000</v>
      </c>
    </row>
    <row r="154" ht="12.75">
      <c r="A154">
        <f>Report!$E$631</f>
        <v>730351.73</v>
      </c>
    </row>
    <row r="155" ht="12.75">
      <c r="A155">
        <f>Report!$E$633</f>
        <v>25000</v>
      </c>
    </row>
    <row r="156" ht="12.75">
      <c r="A156">
        <f>Report!$E$635</f>
        <v>122176.46</v>
      </c>
    </row>
    <row r="157" ht="12.75">
      <c r="A157">
        <f>Report!$E$640</f>
        <v>0</v>
      </c>
    </row>
    <row r="158" ht="12.75">
      <c r="A158">
        <f>Report!$E$642</f>
        <v>40000</v>
      </c>
    </row>
    <row r="159" ht="12.75">
      <c r="A159">
        <f>Report!$E$647</f>
        <v>10000</v>
      </c>
    </row>
    <row r="160" ht="12.75">
      <c r="A160">
        <f>Report!$E$652</f>
        <v>7000</v>
      </c>
    </row>
    <row r="161" ht="12.75">
      <c r="A161">
        <f>Report!$E$657</f>
        <v>8000</v>
      </c>
    </row>
    <row r="162" ht="12.75">
      <c r="A162">
        <f>Report!$E$659</f>
        <v>25000</v>
      </c>
    </row>
    <row r="163" ht="12.75">
      <c r="A163">
        <f>Report!$E$661</f>
        <v>600</v>
      </c>
    </row>
    <row r="164" ht="12.75">
      <c r="A164">
        <f>Report!$E$663</f>
        <v>105000</v>
      </c>
    </row>
    <row r="165" ht="12.75">
      <c r="A165">
        <f>Report!$E$665</f>
        <v>500</v>
      </c>
    </row>
    <row r="166" ht="12.75">
      <c r="A166">
        <f>Report!$E$667</f>
        <v>6000</v>
      </c>
    </row>
    <row r="167" ht="12.75">
      <c r="A167">
        <f>Report!$E$669</f>
        <v>24000</v>
      </c>
    </row>
    <row r="168" ht="12.75">
      <c r="A168">
        <f>Report!$E$674</f>
        <v>150000</v>
      </c>
    </row>
    <row r="169" ht="12.75">
      <c r="A169">
        <f>Report!$E$679</f>
        <v>4000</v>
      </c>
    </row>
    <row r="170" ht="12.75">
      <c r="A170">
        <f>Report!$E$684</f>
        <v>1000</v>
      </c>
    </row>
    <row r="171" ht="12.75">
      <c r="A171">
        <f>Report!$E$689</f>
        <v>310000</v>
      </c>
    </row>
    <row r="172" ht="12.75">
      <c r="A172">
        <f>Report!$E$694</f>
        <v>20000</v>
      </c>
    </row>
    <row r="173" ht="12.75">
      <c r="A173">
        <f>Report!$E$699</f>
        <v>885000</v>
      </c>
    </row>
    <row r="174" ht="12.75">
      <c r="A174">
        <f>Report!$E$701</f>
        <v>45000</v>
      </c>
    </row>
    <row r="175" ht="12.75">
      <c r="A175">
        <f>Report!$E$706</f>
        <v>415000</v>
      </c>
    </row>
    <row r="176" ht="12.75">
      <c r="A176">
        <f>Report!$E$711</f>
        <v>0</v>
      </c>
    </row>
    <row r="177" ht="12.75">
      <c r="A177">
        <f>Report!$E$713</f>
        <v>0</v>
      </c>
    </row>
    <row r="178" ht="12.75">
      <c r="A178">
        <f>Report!$E$718</f>
        <v>60000</v>
      </c>
    </row>
    <row r="179" ht="12.75">
      <c r="A179">
        <f>Report!$E$726</f>
        <v>0</v>
      </c>
    </row>
    <row r="180" ht="12.75">
      <c r="A180">
        <f>Report!$E$728</f>
        <v>0</v>
      </c>
    </row>
    <row r="181" ht="12.75">
      <c r="A181">
        <f>Report!$E$730</f>
        <v>0</v>
      </c>
    </row>
    <row r="182" ht="12.75">
      <c r="A182">
        <f>Report!$E$732</f>
        <v>0</v>
      </c>
    </row>
    <row r="183" ht="12.75">
      <c r="A183">
        <f>Report!$E$734</f>
        <v>0</v>
      </c>
    </row>
    <row r="184" ht="12.75">
      <c r="A184">
        <f>Report!$E$736</f>
        <v>0</v>
      </c>
    </row>
    <row r="185" ht="12.75">
      <c r="A185">
        <f>Report!$E$738</f>
        <v>0</v>
      </c>
    </row>
    <row r="186" ht="12.75">
      <c r="A186">
        <f>Report!$E$740</f>
        <v>0</v>
      </c>
    </row>
    <row r="187" ht="12.75">
      <c r="A187">
        <f>Report!$E$742</f>
        <v>0</v>
      </c>
    </row>
    <row r="188" ht="12.75">
      <c r="A188">
        <f>Report!$E$744</f>
        <v>0</v>
      </c>
    </row>
    <row r="189" ht="12.75">
      <c r="A189">
        <f>Report!$E$746</f>
        <v>0</v>
      </c>
    </row>
    <row r="190" ht="12.75">
      <c r="A190">
        <f>Report!$E$751</f>
        <v>0</v>
      </c>
    </row>
    <row r="191" ht="12.75">
      <c r="A191">
        <f>Report!$E$756</f>
        <v>0</v>
      </c>
    </row>
    <row r="192" ht="12.75">
      <c r="A192">
        <f>Report!$E$758</f>
        <v>250000</v>
      </c>
    </row>
    <row r="193" ht="12.75">
      <c r="A193">
        <f>Report!$E$760</f>
        <v>0</v>
      </c>
    </row>
    <row r="194" ht="12.75">
      <c r="A194">
        <f>Report!$E$762</f>
        <v>0</v>
      </c>
    </row>
    <row r="195" ht="12.75">
      <c r="A195">
        <f>Report!$E$764</f>
        <v>0</v>
      </c>
    </row>
    <row r="196" ht="12.75">
      <c r="A196">
        <f>Report!$E$766</f>
        <v>0</v>
      </c>
    </row>
    <row r="197" ht="12.75">
      <c r="A197">
        <f>Report!$E$768</f>
        <v>0</v>
      </c>
    </row>
    <row r="198" ht="12.75">
      <c r="A198">
        <f>Report!$E$770</f>
        <v>0</v>
      </c>
    </row>
    <row r="199" ht="12.75">
      <c r="A199">
        <f>Report!$E$772</f>
        <v>0</v>
      </c>
    </row>
    <row r="200" ht="12.75">
      <c r="A200">
        <f>Report!$E$774</f>
        <v>0</v>
      </c>
    </row>
    <row r="201" ht="12.75">
      <c r="A201">
        <f>Report!$E$776</f>
        <v>0</v>
      </c>
    </row>
    <row r="202" ht="12.75">
      <c r="A202">
        <f>Report!$E$778</f>
        <v>0</v>
      </c>
    </row>
    <row r="203" ht="12.75">
      <c r="A203">
        <f>Report!$E$780</f>
        <v>0</v>
      </c>
    </row>
    <row r="204" ht="12.75">
      <c r="A204">
        <f>Report!$E$782</f>
        <v>0</v>
      </c>
    </row>
    <row r="205" ht="12.75">
      <c r="A205">
        <f>Report!$E$784</f>
        <v>0</v>
      </c>
    </row>
    <row r="206" ht="12.75">
      <c r="A206">
        <f>Report!$E$786</f>
        <v>0</v>
      </c>
    </row>
    <row r="207" ht="12.75">
      <c r="A207">
        <f>Report!$E$791</f>
        <v>0</v>
      </c>
    </row>
    <row r="208" ht="12.75">
      <c r="A208">
        <f>Report!$E$793</f>
        <v>250000</v>
      </c>
    </row>
    <row r="209" ht="12.75">
      <c r="A209">
        <f>Report!$E$795</f>
        <v>0</v>
      </c>
    </row>
    <row r="210" ht="12.75">
      <c r="A210">
        <f>Report!$E$797</f>
        <v>0</v>
      </c>
    </row>
    <row r="211" ht="12.75">
      <c r="A211">
        <f>Report!$E$802</f>
        <v>0</v>
      </c>
    </row>
    <row r="212" ht="12.75">
      <c r="A212">
        <f>Report!$E$804</f>
        <v>0</v>
      </c>
    </row>
    <row r="213" ht="12.75">
      <c r="A213">
        <f>Report!$E$806</f>
        <v>0</v>
      </c>
    </row>
    <row r="214" ht="12.75">
      <c r="A214">
        <f>Report!$E$808</f>
        <v>0</v>
      </c>
    </row>
    <row r="215" ht="12.75">
      <c r="A215">
        <f>Report!$E$810</f>
        <v>0</v>
      </c>
    </row>
    <row r="216" ht="12.75">
      <c r="A216">
        <f>Report!$E$812</f>
        <v>0</v>
      </c>
    </row>
    <row r="217" ht="12.75">
      <c r="A217">
        <f>Report!$E$814</f>
        <v>0</v>
      </c>
    </row>
    <row r="218" ht="12.75">
      <c r="A218">
        <f>Report!$E$816</f>
        <v>0</v>
      </c>
    </row>
    <row r="219" ht="12.75">
      <c r="A219">
        <f>Report!$E$821</f>
        <v>0</v>
      </c>
    </row>
    <row r="220" ht="12.75">
      <c r="A220">
        <f>Report!$E$829</f>
        <v>105000</v>
      </c>
    </row>
    <row r="221" ht="12.75">
      <c r="A221">
        <f>Report!$E$837</f>
        <v>16611.7</v>
      </c>
    </row>
    <row r="222" ht="12.75">
      <c r="A222">
        <f>Report!$E$842</f>
        <v>586007.52</v>
      </c>
    </row>
    <row r="223" ht="12.75">
      <c r="A223">
        <f>Report!$E$847</f>
        <v>28000</v>
      </c>
    </row>
    <row r="224" ht="12.75">
      <c r="A224">
        <f>Report!$E$852</f>
        <v>188639.82</v>
      </c>
    </row>
    <row r="225" ht="12.75">
      <c r="A225">
        <f>Report!$E$854</f>
        <v>8000</v>
      </c>
    </row>
    <row r="226" ht="12.75">
      <c r="A226">
        <f>Report!$E$856</f>
        <v>6934.32</v>
      </c>
    </row>
    <row r="227" ht="12.75">
      <c r="A227">
        <f>Report!$E$861</f>
        <v>40000</v>
      </c>
    </row>
    <row r="228" ht="12.75">
      <c r="A228">
        <f>Report!$E$866</f>
        <v>0</v>
      </c>
    </row>
    <row r="229" ht="12.75">
      <c r="A229">
        <f>Report!$E$874</f>
        <v>0</v>
      </c>
    </row>
    <row r="230" ht="12.75">
      <c r="A230">
        <f>Report!$E$876</f>
        <v>20000</v>
      </c>
    </row>
    <row r="231" ht="12.75">
      <c r="A231">
        <f>Report!$E$878</f>
        <v>200000</v>
      </c>
    </row>
    <row r="232" ht="12.75">
      <c r="A232">
        <f>Report!$E$883</f>
        <v>1000</v>
      </c>
    </row>
    <row r="233" ht="12.75">
      <c r="A233">
        <f>Report!$E$885</f>
        <v>3000</v>
      </c>
    </row>
    <row r="234" ht="12.75">
      <c r="A234">
        <f>Report!$E$890</f>
        <v>100000</v>
      </c>
    </row>
    <row r="235" ht="12.75">
      <c r="A235">
        <f>Report!$E$892</f>
        <v>2000</v>
      </c>
    </row>
    <row r="236" ht="12.75">
      <c r="A236">
        <f>Report!$E$894</f>
        <v>2000</v>
      </c>
    </row>
    <row r="237" ht="12.75">
      <c r="A237">
        <f>Report!$E$896</f>
        <v>9000</v>
      </c>
    </row>
    <row r="238" ht="12.75">
      <c r="A238">
        <f>Report!$E$898</f>
        <v>70000</v>
      </c>
    </row>
    <row r="239" ht="12.75">
      <c r="A239">
        <f>Report!$E$900</f>
        <v>500</v>
      </c>
    </row>
    <row r="240" ht="12.75">
      <c r="A240">
        <f>Report!$E$905</f>
        <v>1000</v>
      </c>
    </row>
    <row r="241" ht="12.75">
      <c r="A241">
        <f>Report!$E$910</f>
        <v>800000</v>
      </c>
    </row>
    <row r="242" ht="12.75">
      <c r="A242">
        <f>Report!$E$912</f>
        <v>350000</v>
      </c>
    </row>
    <row r="243" ht="12.75">
      <c r="A243">
        <f>Report!$E$914</f>
        <v>0</v>
      </c>
    </row>
    <row r="244" ht="12.75">
      <c r="A244">
        <f>Report!$E$916</f>
        <v>0</v>
      </c>
    </row>
    <row r="245" ht="12.75">
      <c r="A245">
        <f>Report!$E$918</f>
        <v>370000</v>
      </c>
    </row>
    <row r="246" ht="12.75">
      <c r="A246">
        <f>Report!$E$923</f>
        <v>0</v>
      </c>
    </row>
    <row r="247" ht="12.75">
      <c r="A247">
        <f>Report!$E$928</f>
        <v>0</v>
      </c>
    </row>
    <row r="248" ht="12.75">
      <c r="A248">
        <f>Report!$E$936</f>
        <v>1500</v>
      </c>
    </row>
    <row r="249" ht="12.75">
      <c r="A249">
        <f>Report!$E$941</f>
        <v>425000</v>
      </c>
    </row>
    <row r="250" ht="12.75">
      <c r="A250">
        <f>Report!$E$946</f>
        <v>86000</v>
      </c>
    </row>
    <row r="251" ht="12.75">
      <c r="A251">
        <f>Report!$E$948</f>
        <v>0</v>
      </c>
    </row>
    <row r="252" ht="12.75">
      <c r="A252">
        <f>Report!$E$956</f>
        <v>151977.22</v>
      </c>
    </row>
    <row r="253" ht="12.75">
      <c r="A253">
        <f>Report!$E$961</f>
        <v>50152.49</v>
      </c>
    </row>
    <row r="254" ht="12.75">
      <c r="A254">
        <f>Report!$E$966</f>
        <v>18300</v>
      </c>
    </row>
    <row r="255" ht="12.75">
      <c r="A255">
        <f>Report!$E$971</f>
        <v>20000</v>
      </c>
    </row>
    <row r="256" ht="12.75">
      <c r="A256">
        <f>Report!$E$973</f>
        <v>8000</v>
      </c>
    </row>
    <row r="257" ht="12.75">
      <c r="A257">
        <f>Report!$E$978</f>
        <v>5000</v>
      </c>
    </row>
    <row r="258" ht="12.75">
      <c r="A258">
        <f>Report!$E$983</f>
        <v>7000</v>
      </c>
    </row>
    <row r="259" ht="12.75">
      <c r="A259">
        <f>Report!$E$985</f>
        <v>6000</v>
      </c>
    </row>
    <row r="260" ht="12.75">
      <c r="A260">
        <f>Report!$E$990</f>
        <v>20000</v>
      </c>
    </row>
    <row r="261" ht="12.75">
      <c r="A261">
        <f>Report!$E$992</f>
        <v>5000</v>
      </c>
    </row>
    <row r="262" ht="12.75">
      <c r="A262">
        <f>Report!$E$997</f>
        <v>3500</v>
      </c>
    </row>
    <row r="263" ht="12.75">
      <c r="A263">
        <f>Report!$E$1002</f>
        <v>1500</v>
      </c>
    </row>
    <row r="264" ht="12.75">
      <c r="A264">
        <f>Report!$E$1004</f>
        <v>1500</v>
      </c>
    </row>
    <row r="265" ht="12.75">
      <c r="A265">
        <f>Report!$E$1009</f>
        <v>180000</v>
      </c>
    </row>
    <row r="266" ht="12.75">
      <c r="A266">
        <f>Report!$E$1011</f>
        <v>75000</v>
      </c>
    </row>
    <row r="267" ht="12.75">
      <c r="A267">
        <f>Report!$E$1016</f>
        <v>12000</v>
      </c>
    </row>
    <row r="268" ht="12.75">
      <c r="A268">
        <f>Report!$E$1021</f>
        <v>15000</v>
      </c>
    </row>
    <row r="269" ht="12.75">
      <c r="A269">
        <f>Report!$E$1026</f>
        <v>0</v>
      </c>
    </row>
    <row r="270" ht="12.75">
      <c r="A270">
        <f>Report!$E$1031</f>
        <v>15000</v>
      </c>
    </row>
    <row r="271" ht="12.75">
      <c r="A271">
        <f>Report!$E$1036</f>
        <v>33000</v>
      </c>
    </row>
    <row r="272" ht="12.75">
      <c r="A272">
        <f>Report!$E$1038</f>
        <v>1028879.02</v>
      </c>
    </row>
    <row r="273" ht="12.75">
      <c r="A273">
        <f>Report!$E$1040</f>
        <v>0</v>
      </c>
    </row>
    <row r="274" ht="12.75">
      <c r="A274">
        <f>Report!$E$1045</f>
        <v>5000</v>
      </c>
    </row>
    <row r="275" ht="12.75">
      <c r="A275">
        <f>Report!$E$1047</f>
        <v>0</v>
      </c>
    </row>
    <row r="276" ht="12.75">
      <c r="A276">
        <f>Report!$E$1055</f>
        <v>32381.72</v>
      </c>
    </row>
    <row r="277" ht="12.75">
      <c r="A277">
        <f>Report!$E$1060</f>
        <v>466325.37</v>
      </c>
    </row>
    <row r="278" ht="12.75">
      <c r="A278">
        <f>Report!$E$1065</f>
        <v>10685.97</v>
      </c>
    </row>
    <row r="279" ht="12.75">
      <c r="A279">
        <f>Report!$E$1067</f>
        <v>155876.51</v>
      </c>
    </row>
    <row r="280" ht="12.75">
      <c r="A280">
        <f>Report!$E$1072</f>
        <v>10000</v>
      </c>
    </row>
    <row r="281" ht="12.75">
      <c r="A281">
        <f>Report!$E$1080</f>
        <v>6000</v>
      </c>
    </row>
    <row r="282" ht="12.75">
      <c r="A282">
        <f>Report!$E$1085</f>
        <v>2000</v>
      </c>
    </row>
    <row r="283" ht="12.75">
      <c r="A283">
        <f>Report!$E$1090</f>
        <v>2000</v>
      </c>
    </row>
    <row r="284" ht="12.75">
      <c r="A284">
        <f>Report!$E$1095</f>
        <v>20000</v>
      </c>
    </row>
    <row r="285" ht="12.75">
      <c r="A285">
        <f>Report!$E$1103</f>
        <v>16500</v>
      </c>
    </row>
    <row r="286" ht="12.75">
      <c r="A286">
        <f>Report!$E$1108</f>
        <v>2000</v>
      </c>
    </row>
    <row r="287" ht="12.75">
      <c r="A287">
        <f>Report!$E$1113</f>
        <v>10000</v>
      </c>
    </row>
    <row r="288" ht="12.75">
      <c r="A288">
        <f>Report!$E$1118</f>
        <v>4800</v>
      </c>
    </row>
    <row r="289" ht="12.75">
      <c r="A289">
        <f>Report!$E$1123</f>
        <v>2000</v>
      </c>
    </row>
    <row r="290" ht="12.75">
      <c r="A290">
        <f>Report!$E$1128</f>
        <v>5000</v>
      </c>
    </row>
    <row r="291" ht="12.75">
      <c r="A291">
        <f>Report!$E$1133</f>
        <v>9000</v>
      </c>
    </row>
    <row r="292" ht="12.75">
      <c r="A292">
        <f>Report!$E$1138</f>
        <v>9000</v>
      </c>
    </row>
    <row r="293" ht="12.75">
      <c r="A293">
        <f>Report!$E$1143</f>
        <v>50000</v>
      </c>
    </row>
    <row r="294" ht="12.75">
      <c r="A294">
        <f>Report!$E$1145</f>
        <v>2000</v>
      </c>
    </row>
    <row r="295" ht="12.75">
      <c r="A295">
        <f>Report!$E$1150</f>
        <v>7000</v>
      </c>
    </row>
    <row r="296" ht="12.75">
      <c r="A296">
        <f>Report!$E$1155</f>
        <v>0</v>
      </c>
    </row>
    <row r="297" ht="12.75">
      <c r="A297">
        <f>Report!$E$1157</f>
        <v>50000</v>
      </c>
    </row>
    <row r="298" ht="12.75">
      <c r="A298">
        <f>Report!$E$1162</f>
        <v>500000</v>
      </c>
    </row>
    <row r="299" ht="12.75">
      <c r="A299">
        <f>Report!$E$1164</f>
        <v>0</v>
      </c>
    </row>
    <row r="300" ht="12.75">
      <c r="A300">
        <f>Report!$E$1169</f>
        <v>100000</v>
      </c>
    </row>
    <row r="301" ht="12.75">
      <c r="A301">
        <f>Report!$E$1177</f>
        <v>147455.84</v>
      </c>
    </row>
    <row r="302" ht="12.75">
      <c r="A302">
        <f>Report!$E$1182</f>
        <v>0</v>
      </c>
    </row>
    <row r="303" ht="12.75">
      <c r="A303">
        <f>Report!$E$1187</f>
        <v>0</v>
      </c>
    </row>
    <row r="304" ht="12.75">
      <c r="A304">
        <f>Report!$E$1189</f>
        <v>49260.85</v>
      </c>
    </row>
    <row r="305" ht="12.75">
      <c r="A305">
        <f>Report!$E$1197</f>
        <v>1300</v>
      </c>
    </row>
    <row r="306" ht="12.75">
      <c r="A306">
        <f>Report!$E$1202</f>
        <v>0</v>
      </c>
    </row>
    <row r="307" ht="12.75">
      <c r="A307">
        <f>Report!$E$1204</f>
        <v>5000</v>
      </c>
    </row>
    <row r="308" ht="12.75">
      <c r="A308">
        <f>Report!$E$1209</f>
        <v>23000</v>
      </c>
    </row>
    <row r="309" ht="12.75">
      <c r="A309">
        <f>Report!$E$1214</f>
        <v>1800</v>
      </c>
    </row>
    <row r="310" ht="12.75">
      <c r="A310">
        <f>Report!$E$1219</f>
        <v>1800</v>
      </c>
    </row>
    <row r="311" ht="12.75">
      <c r="A311">
        <f>Report!$E$1224</f>
        <v>3600</v>
      </c>
    </row>
    <row r="312" ht="12.75">
      <c r="A312">
        <f>Report!$E$1229</f>
        <v>240000</v>
      </c>
    </row>
    <row r="313" ht="12.75">
      <c r="A313">
        <f>Report!$E$1234</f>
        <v>24300</v>
      </c>
    </row>
    <row r="314" ht="12.75">
      <c r="A314">
        <f>Report!$E$1236</f>
        <v>36000</v>
      </c>
    </row>
    <row r="315" ht="12.75">
      <c r="A315">
        <f>Report!$E$1238</f>
        <v>3600</v>
      </c>
    </row>
    <row r="316" ht="12.75">
      <c r="A316">
        <f>Report!$E$1240</f>
        <v>4500</v>
      </c>
    </row>
    <row r="317" ht="12.75">
      <c r="A317">
        <f>Report!$E$1242</f>
        <v>3600</v>
      </c>
    </row>
    <row r="318" ht="12.75">
      <c r="A318">
        <f>Report!$E$1244</f>
        <v>22500</v>
      </c>
    </row>
    <row r="319" ht="12.75">
      <c r="A319">
        <f>Report!$E$1246</f>
        <v>10800</v>
      </c>
    </row>
    <row r="320" ht="12.75">
      <c r="A320">
        <f>Report!$E$1248</f>
        <v>31500</v>
      </c>
    </row>
    <row r="321" ht="12.75">
      <c r="A321">
        <f>Report!$E$1250</f>
        <v>27000</v>
      </c>
    </row>
    <row r="322" ht="12.75">
      <c r="A322">
        <f>Report!$E$1252</f>
        <v>10800</v>
      </c>
    </row>
    <row r="323" ht="12.75">
      <c r="A323">
        <f>Report!$E$1254</f>
        <v>36000</v>
      </c>
    </row>
    <row r="324" ht="12.75">
      <c r="A324">
        <f>Report!$E$1256</f>
        <v>4000</v>
      </c>
    </row>
    <row r="325" ht="12.75">
      <c r="A325">
        <f>Report!$E$1258</f>
        <v>4000</v>
      </c>
    </row>
    <row r="326" ht="12.75">
      <c r="A326">
        <f>Report!$E$1260</f>
        <v>100000</v>
      </c>
    </row>
    <row r="327" ht="12.75">
      <c r="A327">
        <f>Report!$E$1262</f>
        <v>275000</v>
      </c>
    </row>
    <row r="328" ht="12.75">
      <c r="A328">
        <f>Report!$E$1264</f>
        <v>3600</v>
      </c>
    </row>
    <row r="329" ht="12.75">
      <c r="A329">
        <f>Report!$E$1266</f>
        <v>9000</v>
      </c>
    </row>
    <row r="330" ht="12.75">
      <c r="A330">
        <f>Report!$E$1268</f>
        <v>9000</v>
      </c>
    </row>
    <row r="331" ht="12.75">
      <c r="A331">
        <f>Report!$E$1270</f>
        <v>10800</v>
      </c>
    </row>
    <row r="332" ht="12.75">
      <c r="A332">
        <f>Report!$E$1272</f>
        <v>0</v>
      </c>
    </row>
    <row r="333" ht="12.75">
      <c r="A333">
        <f>Report!$E$1274</f>
        <v>9000</v>
      </c>
    </row>
    <row r="334" ht="12.75">
      <c r="A334">
        <f>Report!$E$1276</f>
        <v>40000</v>
      </c>
    </row>
    <row r="335" ht="12.75">
      <c r="A335">
        <f>Report!$E$1281</f>
        <v>70183.37</v>
      </c>
    </row>
    <row r="336" ht="12.75">
      <c r="A336">
        <f>Report!$E$1289</f>
        <v>81000</v>
      </c>
    </row>
    <row r="337" ht="12.75">
      <c r="A337">
        <f>Report!$E$1294</f>
        <v>2700</v>
      </c>
    </row>
    <row r="338" ht="12.75">
      <c r="A338">
        <f>Report!$E$1299</f>
        <v>2900</v>
      </c>
    </row>
    <row r="339" ht="12.75">
      <c r="A339">
        <f>Report!$E$1304</f>
        <v>90000</v>
      </c>
    </row>
    <row r="340" ht="12.75">
      <c r="A340">
        <f>Report!$E$1306</f>
        <v>7400</v>
      </c>
    </row>
    <row r="341" ht="12.75">
      <c r="A341">
        <f>Report!$E$1311</f>
        <v>8000</v>
      </c>
    </row>
    <row r="342" ht="12.75">
      <c r="A342">
        <f>Report!$E$1313</f>
        <v>0</v>
      </c>
    </row>
    <row r="343" ht="12.75">
      <c r="A343">
        <f>Report!$E$1315</f>
        <v>0</v>
      </c>
    </row>
    <row r="344" ht="12.75">
      <c r="A344">
        <f>Report!$E$1323</f>
        <v>27240.92</v>
      </c>
    </row>
    <row r="345" ht="12.75">
      <c r="A345">
        <f>Report!$E$1328</f>
        <v>10349.28</v>
      </c>
    </row>
    <row r="346" ht="12.75">
      <c r="A346">
        <f>Report!$E$1333</f>
        <v>5000</v>
      </c>
    </row>
    <row r="347" ht="12.75">
      <c r="A347">
        <f>Report!$E$1338</f>
        <v>20000</v>
      </c>
    </row>
    <row r="348" ht="12.75">
      <c r="A348">
        <f>Report!$E$1343</f>
        <v>65000</v>
      </c>
    </row>
    <row r="349" ht="12.75">
      <c r="A349">
        <f>Report!$E$1348</f>
        <v>35000</v>
      </c>
    </row>
    <row r="350" ht="12.75">
      <c r="A350">
        <f>Report!$E$1356</f>
        <v>15000</v>
      </c>
    </row>
    <row r="351" ht="12.75">
      <c r="A351">
        <f>Report!$E$1358</f>
        <v>0</v>
      </c>
    </row>
    <row r="352" ht="12.75">
      <c r="A352">
        <f>Report!$E$1363</f>
        <v>1200</v>
      </c>
    </row>
    <row r="353" ht="12.75">
      <c r="A353">
        <f>Report!$E$1368</f>
        <v>5000</v>
      </c>
    </row>
    <row r="354" ht="12.75">
      <c r="A354">
        <f>Report!$E$1373</f>
        <v>156620</v>
      </c>
    </row>
    <row r="355" ht="12.75">
      <c r="A355">
        <f>Report!$E$1375</f>
        <v>20000</v>
      </c>
    </row>
    <row r="356" ht="12.75">
      <c r="A356">
        <f>Report!$E$1380</f>
        <v>0</v>
      </c>
    </row>
    <row r="357" ht="12.75">
      <c r="A357">
        <f>Report!$E$1385</f>
        <v>0</v>
      </c>
    </row>
    <row r="358" ht="12.75">
      <c r="A358">
        <f>Report!$E$1390</f>
        <v>0</v>
      </c>
    </row>
    <row r="359" ht="12.75">
      <c r="A359">
        <f>Report!$E$1398</f>
        <v>0</v>
      </c>
    </row>
    <row r="360" ht="12.75">
      <c r="A360">
        <f>Report!$E$1403</f>
        <v>8000</v>
      </c>
    </row>
    <row r="361" ht="12.75">
      <c r="A361">
        <f>Report!$E$1411</f>
        <v>27531.42</v>
      </c>
    </row>
    <row r="362" ht="12.75">
      <c r="A362">
        <f>Report!$E$1416</f>
        <v>9085.37</v>
      </c>
    </row>
    <row r="363" ht="12.75">
      <c r="A363">
        <f>Report!$E$1424</f>
        <v>5000</v>
      </c>
    </row>
    <row r="364" ht="12.75">
      <c r="A364">
        <f>Report!$E$1429</f>
        <v>8000</v>
      </c>
    </row>
    <row r="365" ht="12.75">
      <c r="A365">
        <f>Report!$E$1437</f>
        <v>750</v>
      </c>
    </row>
    <row r="366" ht="12.75">
      <c r="A366">
        <f>Report!$E$1442</f>
        <v>160000</v>
      </c>
    </row>
    <row r="367" ht="12.75">
      <c r="A367">
        <f>Report!$E$1447</f>
        <v>182479.44</v>
      </c>
    </row>
    <row r="368" ht="12.75">
      <c r="A368">
        <f>Report!$E$1449</f>
        <v>80000</v>
      </c>
    </row>
    <row r="369" ht="12.75">
      <c r="A369">
        <f>Report!$E$1454</f>
        <v>8500</v>
      </c>
    </row>
    <row r="370" ht="12.75">
      <c r="A370">
        <f>Report!$E$1459</f>
        <v>45000</v>
      </c>
    </row>
    <row r="371" ht="12.75">
      <c r="A371">
        <f>Report!$E$1467</f>
        <v>9500</v>
      </c>
    </row>
    <row r="372" ht="12.75">
      <c r="A372">
        <f>Report!$E$1472</f>
        <v>420000</v>
      </c>
    </row>
    <row r="373" ht="12.75">
      <c r="A373">
        <f>Report!$E$1480</f>
        <v>182875.56</v>
      </c>
    </row>
    <row r="374" ht="12.75">
      <c r="A374">
        <f>Report!$E$1485</f>
        <v>60269.41</v>
      </c>
    </row>
    <row r="375" ht="12.75">
      <c r="A375">
        <f>Report!$E$1490</f>
        <v>6000</v>
      </c>
    </row>
    <row r="376" ht="12.75">
      <c r="A376">
        <f>Report!$E$1495</f>
        <v>1500</v>
      </c>
    </row>
    <row r="377" ht="12.75">
      <c r="A377">
        <f>Report!$E$1500</f>
        <v>4000</v>
      </c>
    </row>
    <row r="378" ht="12.75">
      <c r="A378">
        <f>Report!$E$1505</f>
        <v>15000</v>
      </c>
    </row>
    <row r="379" ht="12.75">
      <c r="A379">
        <f>Report!$E$1507</f>
        <v>10680</v>
      </c>
    </row>
    <row r="380" ht="12.75">
      <c r="A380">
        <f>Report!$E$1512</f>
        <v>120000</v>
      </c>
    </row>
    <row r="381" ht="12.75">
      <c r="A381">
        <f>Report!$E$1517</f>
        <v>0</v>
      </c>
    </row>
    <row r="382" ht="12.75">
      <c r="A382">
        <f>Report!$E$1525</f>
        <v>100000</v>
      </c>
    </row>
    <row r="383" ht="12.75">
      <c r="A383">
        <f>Report!$E$1533</f>
        <v>5000</v>
      </c>
    </row>
    <row r="384" ht="12.75">
      <c r="A384">
        <f>Report!$E$1538</f>
        <v>1000</v>
      </c>
    </row>
    <row r="385" ht="12.75">
      <c r="A385">
        <f>Report!$E$1543</f>
        <v>0</v>
      </c>
    </row>
    <row r="386" ht="12.75">
      <c r="A386">
        <f>Report!$E$1545</f>
        <v>0</v>
      </c>
    </row>
    <row r="387" ht="12.75">
      <c r="A387">
        <f>Report!$E$1547</f>
        <v>0</v>
      </c>
    </row>
    <row r="388" ht="12.75">
      <c r="A388">
        <f>Report!$E$1549</f>
        <v>0</v>
      </c>
    </row>
    <row r="389" ht="12.75">
      <c r="A389">
        <f>Report!$E$1551</f>
        <v>0</v>
      </c>
    </row>
    <row r="390" ht="12.75">
      <c r="A390">
        <f>Report!$E$1553</f>
        <v>0</v>
      </c>
    </row>
    <row r="391" ht="12.75">
      <c r="A391">
        <f>Report!$E$1555</f>
        <v>0</v>
      </c>
    </row>
    <row r="392" ht="12.75">
      <c r="A392">
        <f>Report!$E$1557</f>
        <v>0</v>
      </c>
    </row>
    <row r="393" ht="12.75">
      <c r="A393">
        <f>Report!$E$1559</f>
        <v>0</v>
      </c>
    </row>
    <row r="394" ht="12.75">
      <c r="A394">
        <f>Report!$E$1561</f>
        <v>0</v>
      </c>
    </row>
    <row r="395" ht="12.75">
      <c r="A395">
        <f>Report!$E$1563</f>
        <v>0</v>
      </c>
    </row>
    <row r="396" ht="12.75">
      <c r="A396">
        <f>Report!$E$1565</f>
        <v>0</v>
      </c>
    </row>
    <row r="397" ht="12.75">
      <c r="A397">
        <f>Report!$E$1567</f>
        <v>0</v>
      </c>
    </row>
    <row r="398" ht="12.75">
      <c r="A398">
        <f>Report!$E$1569</f>
        <v>0</v>
      </c>
    </row>
    <row r="399" ht="12.75">
      <c r="A399">
        <f>Report!$E$1571</f>
        <v>0</v>
      </c>
    </row>
    <row r="400" ht="12.75">
      <c r="A400">
        <f>Report!$E$1573</f>
        <v>0</v>
      </c>
    </row>
    <row r="401" ht="12.75">
      <c r="A401">
        <f>Report!$E$1581</f>
        <v>854207.51</v>
      </c>
    </row>
    <row r="402" ht="12.75">
      <c r="A402">
        <f>Report!$E$1589</f>
        <v>1500</v>
      </c>
    </row>
    <row r="403" ht="12.75">
      <c r="A403">
        <f>Report!$E$1594</f>
        <v>190000</v>
      </c>
    </row>
    <row r="404" ht="12.75">
      <c r="A404">
        <f>Report!$E$1599</f>
        <v>2000</v>
      </c>
    </row>
    <row r="405" ht="12.75">
      <c r="A405">
        <f>Report!$E$1607</f>
        <v>476680.8</v>
      </c>
    </row>
    <row r="406" ht="12.75">
      <c r="A406">
        <f>Report!$E$1612</f>
        <v>218399.76</v>
      </c>
    </row>
    <row r="407" ht="12.75">
      <c r="A407">
        <f>Report!$E$1617</f>
        <v>72071.92</v>
      </c>
    </row>
    <row r="408" ht="12.75">
      <c r="A408">
        <f>Report!$E$1619</f>
        <v>157304.72</v>
      </c>
    </row>
    <row r="409" ht="12.75">
      <c r="A409">
        <f>Report!$E$1624</f>
        <v>0</v>
      </c>
    </row>
    <row r="410" ht="12.75">
      <c r="A410">
        <f>Report!$E$1629</f>
        <v>30000</v>
      </c>
    </row>
    <row r="411" ht="12.75">
      <c r="A411">
        <f>Report!$E$1634</f>
        <v>9500</v>
      </c>
    </row>
    <row r="412" ht="12.75">
      <c r="A412">
        <f>Report!$E$1639</f>
        <v>30000</v>
      </c>
    </row>
    <row r="413" ht="12.75">
      <c r="A413">
        <f>Report!$E$1644</f>
        <v>5000</v>
      </c>
    </row>
    <row r="414" ht="12.75">
      <c r="A414">
        <f>Report!$E$1649</f>
        <v>0</v>
      </c>
    </row>
    <row r="415" ht="12.75">
      <c r="A415">
        <f>Report!$E$1654</f>
        <v>38364</v>
      </c>
    </row>
    <row r="416" ht="12.75">
      <c r="A416">
        <f>Report!$E$1656</f>
        <v>0</v>
      </c>
    </row>
    <row r="417" ht="12.75">
      <c r="A417">
        <f>Report!$E$1664</f>
        <v>8333.36</v>
      </c>
    </row>
    <row r="418" ht="12.75">
      <c r="A418">
        <f>Report!$E$1666</f>
        <v>95573.4</v>
      </c>
    </row>
    <row r="419" ht="12.75">
      <c r="A419">
        <f>Report!$E$1668</f>
        <v>21455.56</v>
      </c>
    </row>
    <row r="420" ht="12.75">
      <c r="A420">
        <f>Report!$E$1670</f>
        <v>36372.24</v>
      </c>
    </row>
    <row r="421" ht="12.75">
      <c r="A421">
        <f>Report!$E$1672</f>
        <v>21483.74</v>
      </c>
    </row>
    <row r="422" ht="12.75">
      <c r="A422">
        <f>Report!$E$1677</f>
        <v>22482.84</v>
      </c>
    </row>
    <row r="423" ht="12.75">
      <c r="A423">
        <f>Report!$E$1679</f>
        <v>30000</v>
      </c>
    </row>
    <row r="424" ht="12.75">
      <c r="A424">
        <f>Report!$E$1681</f>
        <v>105852.32</v>
      </c>
    </row>
    <row r="425" ht="12.75">
      <c r="A425">
        <f>Report!$E$1683</f>
        <v>230458.76</v>
      </c>
    </row>
    <row r="426" ht="12.75">
      <c r="A426">
        <f>Report!$E$1688</f>
        <v>25539.22</v>
      </c>
    </row>
    <row r="427" ht="12.75">
      <c r="A427">
        <f>Report!$E$1693</f>
        <v>573343.96</v>
      </c>
    </row>
    <row r="428" ht="12.75">
      <c r="A428">
        <f>Report!$E$1698</f>
        <v>86000</v>
      </c>
    </row>
    <row r="429" ht="12.75">
      <c r="A429">
        <f>Report!$E$1700</f>
        <v>120000</v>
      </c>
    </row>
    <row r="430" ht="12.75">
      <c r="A430">
        <f>Report!$E$1705</f>
        <v>50000</v>
      </c>
    </row>
    <row r="431" ht="12.75">
      <c r="A431">
        <f>Report!$E$1707</f>
        <v>50000</v>
      </c>
    </row>
    <row r="432" ht="12.75">
      <c r="A432">
        <f>Report!$E$1712</f>
        <v>178864.05</v>
      </c>
    </row>
    <row r="433" ht="12.75">
      <c r="A433">
        <f>Report!$E$1714</f>
        <v>190531.08</v>
      </c>
    </row>
    <row r="434" ht="12.75">
      <c r="A434">
        <f>Report!$E$1716</f>
        <v>8427.94</v>
      </c>
    </row>
    <row r="435" ht="12.75">
      <c r="A435">
        <f>Report!$E$1721</f>
        <v>6000</v>
      </c>
    </row>
    <row r="436" ht="12.75">
      <c r="A436">
        <f>Report!$E$1726</f>
        <v>0</v>
      </c>
    </row>
    <row r="437" ht="12.75">
      <c r="A437">
        <f>Report!$E$1731</f>
        <v>1500</v>
      </c>
    </row>
    <row r="438" ht="12.75">
      <c r="A438">
        <f>Report!$E$1736</f>
        <v>5000</v>
      </c>
    </row>
    <row r="439" ht="12.75">
      <c r="A439">
        <f>Report!$E$1741</f>
        <v>0</v>
      </c>
    </row>
    <row r="440" ht="12.75">
      <c r="A440">
        <f>Report!$E$1746</f>
        <v>260000</v>
      </c>
    </row>
    <row r="441" ht="12.75">
      <c r="A441">
        <f>Report!$E$1751</f>
        <v>30000</v>
      </c>
    </row>
    <row r="442" ht="12.75">
      <c r="A442">
        <f>Report!$E$1756</f>
        <v>0</v>
      </c>
    </row>
    <row r="443" ht="12.75">
      <c r="A443">
        <f>Report!$E$1758</f>
        <v>20000</v>
      </c>
    </row>
    <row r="444" ht="12.75">
      <c r="A444">
        <f>Report!$E$1763</f>
        <v>10000</v>
      </c>
    </row>
    <row r="445" ht="12.75">
      <c r="A445">
        <f>Report!$E$1768</f>
        <v>2500</v>
      </c>
    </row>
    <row r="446" ht="12.75">
      <c r="A446">
        <f>Report!$E$1773</f>
        <v>325680</v>
      </c>
    </row>
    <row r="447" ht="12.75">
      <c r="A447">
        <f>Report!$E$1778</f>
        <v>25000</v>
      </c>
    </row>
    <row r="448" ht="12.75">
      <c r="A448">
        <f>Report!$E$1780</f>
        <v>30000</v>
      </c>
    </row>
    <row r="449" ht="12.75">
      <c r="A449">
        <f>Report!$E$1782</f>
        <v>10000</v>
      </c>
    </row>
    <row r="450" ht="12.75">
      <c r="A450">
        <f>Report!$E$1787</f>
        <v>165000</v>
      </c>
    </row>
    <row r="451" ht="12.75">
      <c r="A451">
        <f>Report!$E$1789</f>
        <v>5000</v>
      </c>
    </row>
    <row r="452" ht="12.75">
      <c r="A452">
        <f>Report!$E$1791</f>
        <v>10000</v>
      </c>
    </row>
    <row r="453" ht="12.75">
      <c r="A453">
        <f>Report!$E$1793</f>
        <v>60000</v>
      </c>
    </row>
    <row r="454" ht="12.75">
      <c r="A454">
        <f>Report!$E$1795</f>
        <v>100000</v>
      </c>
    </row>
    <row r="455" ht="12.75">
      <c r="A455">
        <f>Report!$E$1800</f>
        <v>65000</v>
      </c>
    </row>
    <row r="456" ht="12.75">
      <c r="A456">
        <f>Report!$E$1802</f>
        <v>167000</v>
      </c>
    </row>
    <row r="457" ht="12.75">
      <c r="A457">
        <f>Report!$E$1807</f>
        <v>45000</v>
      </c>
    </row>
    <row r="458" ht="12.75">
      <c r="A458">
        <f>Report!$E$1812</f>
        <v>1000</v>
      </c>
    </row>
    <row r="459" ht="12.75">
      <c r="A459">
        <f>Report!$E$1814</f>
        <v>3500</v>
      </c>
    </row>
    <row r="460" ht="12.75">
      <c r="A460">
        <f>Report!$E$1816</f>
        <v>1000</v>
      </c>
    </row>
    <row r="461" ht="12.75">
      <c r="A461">
        <f>Report!$E$1821</f>
        <v>1000</v>
      </c>
    </row>
    <row r="462" ht="12.75">
      <c r="A462">
        <f>Report!$E$1823</f>
        <v>0</v>
      </c>
    </row>
    <row r="463" ht="12.75">
      <c r="A463">
        <f>Report!$E$1825</f>
        <v>1000</v>
      </c>
    </row>
    <row r="464" ht="12.75">
      <c r="A464">
        <f>Report!$E$1827</f>
        <v>50000</v>
      </c>
    </row>
    <row r="465" ht="12.75">
      <c r="A465">
        <f>Report!$E$1829</f>
        <v>5000</v>
      </c>
    </row>
    <row r="466" ht="12.75">
      <c r="A466">
        <f>Report!$E$1834</f>
        <v>300000</v>
      </c>
    </row>
    <row r="467" ht="12.75">
      <c r="A467">
        <f>Report!$E$1836</f>
        <v>600</v>
      </c>
    </row>
    <row r="468" ht="12.75">
      <c r="A468">
        <f>Report!$E$1838</f>
        <v>332927.2</v>
      </c>
    </row>
    <row r="469" ht="12.75">
      <c r="A469">
        <f>Report!$E$1840</f>
        <v>0</v>
      </c>
    </row>
    <row r="470" ht="12.75">
      <c r="A470">
        <f>Report!$E$1842</f>
        <v>0</v>
      </c>
    </row>
    <row r="471" ht="12.75">
      <c r="A471">
        <f>Report!$E$1847</f>
        <v>8000</v>
      </c>
    </row>
    <row r="472" ht="12.75">
      <c r="A472">
        <f>Report!$E$1852</f>
        <v>20000</v>
      </c>
    </row>
    <row r="473" ht="12.75">
      <c r="A473">
        <f>Report!$E$1857</f>
        <v>146000</v>
      </c>
    </row>
    <row r="474" ht="12.75">
      <c r="A474">
        <f>Report!$E$1862</f>
        <v>0</v>
      </c>
    </row>
    <row r="475" ht="12.75">
      <c r="A475">
        <f>Report!$E$1867</f>
        <v>145000</v>
      </c>
    </row>
    <row r="476" ht="12.75">
      <c r="A476">
        <f>Report!$E$1869</f>
        <v>0</v>
      </c>
    </row>
    <row r="477" ht="12.75">
      <c r="A477">
        <f>Report!$E$1874</f>
        <v>80000</v>
      </c>
    </row>
    <row r="478" ht="12.75">
      <c r="A478">
        <f>Report!$E$1876</f>
        <v>0</v>
      </c>
    </row>
    <row r="479" ht="12.75">
      <c r="A479">
        <f>Report!$E$1881</f>
        <v>30000</v>
      </c>
    </row>
    <row r="480" ht="12.75">
      <c r="A480">
        <f>Report!$E$1883</f>
        <v>120000</v>
      </c>
    </row>
    <row r="481" ht="12.75">
      <c r="A481">
        <f>Report!$E$1891</f>
        <v>8000</v>
      </c>
    </row>
    <row r="482" ht="12.75">
      <c r="A482">
        <f>Report!$E$1896</f>
        <v>45000</v>
      </c>
    </row>
    <row r="483" ht="12.75">
      <c r="A483">
        <f>Report!$E$1904</f>
        <v>1542743.69</v>
      </c>
    </row>
    <row r="484" ht="12.75">
      <c r="A484">
        <f>Report!$E$1912</f>
        <v>350000</v>
      </c>
    </row>
    <row r="485" ht="12.75">
      <c r="A485">
        <f>Report!$E$1920</f>
        <v>27279.18</v>
      </c>
    </row>
    <row r="486" ht="12.75">
      <c r="A486">
        <f>Report!$E$1922</f>
        <v>14352.64</v>
      </c>
    </row>
    <row r="487" ht="12.75">
      <c r="A487">
        <f>Report!$E$1924</f>
        <v>63715.6</v>
      </c>
    </row>
    <row r="488" ht="12.75">
      <c r="A488">
        <f>Report!$E$1926</f>
        <v>14006.94</v>
      </c>
    </row>
    <row r="489" ht="12.75">
      <c r="A489">
        <f>Report!$E$1928</f>
        <v>10727.78</v>
      </c>
    </row>
    <row r="490" ht="12.75">
      <c r="A490">
        <f>Report!$E$1933</f>
        <v>15994.2</v>
      </c>
    </row>
    <row r="491" ht="12.75">
      <c r="A491">
        <f>Report!$E$1935</f>
        <v>81716.18</v>
      </c>
    </row>
    <row r="492" ht="12.75">
      <c r="A492">
        <f>Report!$E$1937</f>
        <v>184427.18</v>
      </c>
    </row>
    <row r="493" ht="12.75">
      <c r="A493">
        <f>Report!$E$1942</f>
        <v>239258.32</v>
      </c>
    </row>
    <row r="494" ht="12.75">
      <c r="A494">
        <f>Report!$E$1947</f>
        <v>74923.92</v>
      </c>
    </row>
    <row r="495" ht="12.75">
      <c r="A495">
        <f>Report!$E$1949</f>
        <v>136032.52</v>
      </c>
    </row>
    <row r="496" ht="12.75">
      <c r="A496">
        <f>Report!$E$1954</f>
        <v>8050</v>
      </c>
    </row>
    <row r="497" ht="12.75">
      <c r="A497">
        <f>Report!$E$1959</f>
        <v>20000</v>
      </c>
    </row>
    <row r="498" ht="12.75">
      <c r="A498">
        <f>Report!$E$1964</f>
        <v>50000</v>
      </c>
    </row>
    <row r="499" ht="12.75">
      <c r="A499">
        <f>Report!$E$1969</f>
        <v>45000</v>
      </c>
    </row>
    <row r="500" ht="12.75">
      <c r="A500">
        <f>Report!$E$1974</f>
        <v>500</v>
      </c>
    </row>
    <row r="501" ht="12.75">
      <c r="A501">
        <f>Report!$E$1979</f>
        <v>8000</v>
      </c>
    </row>
    <row r="502" ht="12.75">
      <c r="A502">
        <f>Report!$E$1984</f>
        <v>800000</v>
      </c>
    </row>
    <row r="503" ht="12.75">
      <c r="A503">
        <f>Report!$E$1992</f>
        <v>20000</v>
      </c>
    </row>
    <row r="504" ht="12.75">
      <c r="A504">
        <f>Report!$E$1997</f>
        <v>1500</v>
      </c>
    </row>
    <row r="505" ht="12.75">
      <c r="A505">
        <f>Report!$E$2002</f>
        <v>170000</v>
      </c>
    </row>
    <row r="506" ht="12.75">
      <c r="A506">
        <f>Report!$E$2007</f>
        <v>99479.75</v>
      </c>
    </row>
    <row r="507" ht="12.75">
      <c r="A507">
        <f>Report!$E$2012</f>
        <v>0</v>
      </c>
    </row>
    <row r="508" ht="12.75">
      <c r="A508">
        <f>Report!$E$2017</f>
        <v>0</v>
      </c>
    </row>
    <row r="509" ht="12.75">
      <c r="A509">
        <f>Report!$E$2022</f>
        <v>40000</v>
      </c>
    </row>
    <row r="510" ht="12.75">
      <c r="A510">
        <f>Report!$E$2030</f>
        <v>2600</v>
      </c>
    </row>
    <row r="511" ht="12.75">
      <c r="A511">
        <f>Report!$E$2032</f>
        <v>4000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